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O:\083\Dokumenter\LØN\"/>
    </mc:Choice>
  </mc:AlternateContent>
  <xr:revisionPtr revIDLastSave="0" documentId="8_{8570DBEF-B44A-4DA8-AEA4-A812DF7B5835}" xr6:coauthVersionLast="47" xr6:coauthVersionMax="47" xr10:uidLastSave="{00000000-0000-0000-0000-000000000000}"/>
  <bookViews>
    <workbookView xWindow="-120" yWindow="-120" windowWidth="51840" windowHeight="21240" activeTab="1" autoFilterDateGrouping="0" xr2:uid="{00000000-000D-0000-FFFF-FFFF00000000}"/>
  </bookViews>
  <sheets>
    <sheet name="forside" sheetId="6" r:id="rId1"/>
    <sheet name="skema" sheetId="2" r:id="rId2"/>
    <sheet name="Ark2" sheetId="4" r:id="rId3"/>
    <sheet name="Ark3" sheetId="5" r:id="rId4"/>
  </sheets>
  <definedNames>
    <definedName name="TABLE" localSheetId="3">'Ark3'!#REF!</definedName>
    <definedName name="TABLE_2" localSheetId="3">'Ark3'!#REF!</definedName>
    <definedName name="TABLE_3" localSheetId="3">'Ark3'!#REF!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2" l="1"/>
  <c r="J32" i="2"/>
  <c r="E4" i="5" l="1"/>
  <c r="C1" i="4"/>
  <c r="C33" i="4" l="1"/>
  <c r="C4" i="4"/>
  <c r="H4" i="5"/>
  <c r="J11" i="5" s="1"/>
  <c r="L49" i="2"/>
  <c r="C18" i="4"/>
  <c r="J17" i="2"/>
  <c r="E12" i="5"/>
  <c r="F12" i="5" s="1"/>
  <c r="E16" i="5"/>
  <c r="F16" i="5" s="1"/>
  <c r="F24" i="5"/>
  <c r="D24" i="5"/>
  <c r="G24" i="5" l="1"/>
  <c r="F25" i="5"/>
  <c r="C36" i="4"/>
  <c r="C25" i="4"/>
  <c r="J38" i="2" s="1"/>
  <c r="E31" i="5"/>
  <c r="F31" i="5" s="1"/>
  <c r="G31" i="5" s="1"/>
  <c r="J29" i="2"/>
  <c r="K29" i="2" s="1"/>
  <c r="J27" i="2"/>
  <c r="K27" i="2" s="1"/>
  <c r="K23" i="5"/>
  <c r="J22" i="2"/>
  <c r="K22" i="2" s="1"/>
  <c r="E24" i="5"/>
  <c r="J30" i="2"/>
  <c r="K30" i="2" s="1"/>
  <c r="B18" i="4"/>
  <c r="B15" i="4"/>
  <c r="B32" i="4"/>
  <c r="K15" i="2"/>
  <c r="J23" i="2"/>
  <c r="K23" i="2" s="1"/>
  <c r="K41" i="2"/>
  <c r="J41" i="2" s="1"/>
  <c r="B16" i="4"/>
  <c r="B19" i="4"/>
  <c r="J13" i="2"/>
  <c r="K13" i="2" s="1"/>
  <c r="J18" i="2"/>
  <c r="K18" i="2" s="1"/>
  <c r="J14" i="2"/>
  <c r="K14" i="2" s="1"/>
  <c r="J24" i="2"/>
  <c r="K24" i="2" s="1"/>
  <c r="J19" i="2"/>
  <c r="K19" i="2" s="1"/>
  <c r="I26" i="2"/>
  <c r="C24" i="4"/>
  <c r="I18" i="2"/>
  <c r="I16" i="2"/>
  <c r="J16" i="2" s="1"/>
  <c r="K16" i="2" s="1"/>
  <c r="I11" i="2"/>
  <c r="J11" i="2" s="1"/>
  <c r="K11" i="2" s="1"/>
  <c r="I13" i="2"/>
  <c r="J42" i="2"/>
  <c r="K42" i="2" s="1"/>
  <c r="J12" i="2"/>
  <c r="K12" i="2" s="1"/>
  <c r="I21" i="2"/>
  <c r="C22" i="4"/>
  <c r="J35" i="2" s="1"/>
  <c r="C13" i="4"/>
  <c r="J8" i="2" s="1"/>
  <c r="K8" i="2" s="1"/>
  <c r="C19" i="4"/>
  <c r="C16" i="4"/>
  <c r="J9" i="2" s="1"/>
  <c r="K9" i="2" s="1"/>
  <c r="C9" i="4"/>
  <c r="J39" i="2" s="1"/>
  <c r="C8" i="4"/>
  <c r="C23" i="4"/>
  <c r="J36" i="2" s="1"/>
  <c r="C35" i="4"/>
  <c r="I44" i="2" s="1"/>
  <c r="J44" i="2" s="1"/>
  <c r="K44" i="2" s="1"/>
  <c r="C21" i="4"/>
  <c r="C10" i="4"/>
  <c r="J40" i="2" s="1"/>
  <c r="J45" i="2"/>
  <c r="K45" i="2" s="1"/>
  <c r="C11" i="4"/>
  <c r="I43" i="2" s="1"/>
  <c r="J43" i="2" s="1"/>
  <c r="K43" i="2" s="1"/>
  <c r="C7" i="4"/>
  <c r="M24" i="5"/>
  <c r="H19" i="5"/>
  <c r="I19" i="5" s="1"/>
  <c r="K17" i="2" l="1"/>
  <c r="H24" i="5"/>
  <c r="I40" i="2"/>
  <c r="K40" i="2"/>
  <c r="I36" i="2"/>
  <c r="K36" i="2"/>
  <c r="K39" i="2"/>
  <c r="I39" i="2"/>
  <c r="K35" i="2"/>
  <c r="I35" i="2"/>
  <c r="I38" i="2"/>
  <c r="K38" i="2"/>
  <c r="K37" i="2"/>
  <c r="I37" i="2"/>
  <c r="G25" i="5"/>
  <c r="H25" i="5" s="1"/>
  <c r="M23" i="5"/>
  <c r="N23" i="5" s="1"/>
  <c r="H22" i="5"/>
  <c r="I22" i="5" s="1"/>
  <c r="H14" i="5"/>
  <c r="I14" i="5" s="1"/>
  <c r="L26" i="5"/>
  <c r="C17" i="4"/>
  <c r="C27" i="4"/>
  <c r="J33" i="2" s="1"/>
  <c r="I33" i="2" s="1"/>
  <c r="C29" i="4"/>
  <c r="C5" i="4"/>
  <c r="J47" i="2" s="1"/>
  <c r="K47" i="2" s="1"/>
  <c r="C34" i="4"/>
  <c r="C20" i="4"/>
  <c r="H10" i="5"/>
  <c r="I10" i="5" s="1"/>
  <c r="J10" i="5" s="1"/>
  <c r="C26" i="4"/>
  <c r="C14" i="4"/>
  <c r="C6" i="4"/>
  <c r="C15" i="4"/>
  <c r="J46" i="2"/>
  <c r="K46" i="2" s="1"/>
  <c r="C28" i="4"/>
  <c r="J34" i="2" s="1"/>
  <c r="J7" i="2" l="1"/>
  <c r="K7" i="2" s="1"/>
  <c r="K32" i="2"/>
  <c r="I32" i="2"/>
  <c r="I34" i="2"/>
  <c r="K34" i="2"/>
  <c r="N24" i="5"/>
  <c r="N27" i="5" s="1"/>
  <c r="N26" i="5"/>
  <c r="K33" i="2"/>
  <c r="E10" i="5"/>
  <c r="F10" i="5" s="1"/>
  <c r="E7" i="5"/>
  <c r="F7" i="5" s="1"/>
  <c r="J26" i="2"/>
  <c r="K26" i="2" s="1"/>
  <c r="J21" i="2"/>
  <c r="K21" i="2" l="1"/>
  <c r="K48" i="2" s="1"/>
  <c r="J48" i="2"/>
  <c r="K49" i="2" l="1"/>
  <c r="J4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Ollendorff</author>
  </authors>
  <commentList>
    <comment ref="B7" authorId="0" shapeId="0" xr:uid="{00000000-0006-0000-0100-000001000000}">
      <text>
        <r>
          <rPr>
            <b/>
            <sz val="8"/>
            <color indexed="81"/>
            <rFont val="Tahoma"/>
          </rPr>
          <t>OK-ansatte, dog ikke 93-gruppen.</t>
        </r>
        <r>
          <rPr>
            <sz val="8"/>
            <color indexed="81"/>
            <rFont val="Tahoma"/>
          </rPr>
          <t xml:space="preserve">
</t>
        </r>
      </text>
    </comment>
    <comment ref="I10" authorId="0" shapeId="0" xr:uid="{00000000-0006-0000-0100-000002000000}">
      <text>
        <r>
          <rPr>
            <b/>
            <sz val="8"/>
            <color indexed="81"/>
            <rFont val="Tahoma"/>
            <charset val="1"/>
          </rPr>
          <t>Skriv det samlede antal undervisningstimer på årsbasis opgjort i din opgaveoversigt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12" authorId="0" shapeId="0" xr:uid="{00000000-0006-0000-0100-000003000000}">
      <text>
        <r>
          <rPr>
            <b/>
            <sz val="8"/>
            <color indexed="81"/>
            <rFont val="Tahoma"/>
          </rPr>
          <t>Tjenestemænd og medlemmer af 93-gruppen</t>
        </r>
        <r>
          <rPr>
            <sz val="8"/>
            <color indexed="81"/>
            <rFont val="Tahoma"/>
          </rPr>
          <t xml:space="preserve">
</t>
        </r>
      </text>
    </comment>
    <comment ref="I15" authorId="0" shapeId="0" xr:uid="{00000000-0006-0000-0100-000004000000}">
      <text>
        <r>
          <rPr>
            <b/>
            <sz val="8"/>
            <color indexed="81"/>
            <rFont val="Tahoma"/>
            <charset val="1"/>
          </rPr>
          <t>antal undervisningstimer på årsbasis opgjort i din opgaveoversigt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B17" authorId="0" shapeId="0" xr:uid="{00000000-0006-0000-0100-000005000000}">
      <text>
        <r>
          <rPr>
            <b/>
            <sz val="8"/>
            <color indexed="81"/>
            <rFont val="Tahoma"/>
          </rPr>
          <t>OK-ansatte, dog ikke 93-gruppen.</t>
        </r>
        <r>
          <rPr>
            <sz val="8"/>
            <color indexed="81"/>
            <rFont val="Tahoma"/>
          </rPr>
          <t xml:space="preserve">
</t>
        </r>
      </text>
    </comment>
    <comment ref="I20" authorId="0" shapeId="0" xr:uid="{00000000-0006-0000-0100-000006000000}">
      <text>
        <r>
          <rPr>
            <sz val="8"/>
            <color indexed="81"/>
            <rFont val="Tahoma"/>
            <charset val="1"/>
          </rPr>
          <t>antal undervisningstimer på årsbasis opgjort i din opgaveoversigt</t>
        </r>
      </text>
    </comment>
    <comment ref="B22" authorId="0" shapeId="0" xr:uid="{00000000-0006-0000-0100-000007000000}">
      <text>
        <r>
          <rPr>
            <b/>
            <sz val="8"/>
            <color indexed="81"/>
            <rFont val="Tahoma"/>
          </rPr>
          <t>Tjenestemænd og medlemmer af 93-gruppen.</t>
        </r>
        <r>
          <rPr>
            <sz val="8"/>
            <color indexed="81"/>
            <rFont val="Tahoma"/>
          </rPr>
          <t xml:space="preserve">
</t>
        </r>
      </text>
    </comment>
    <comment ref="I25" authorId="0" shapeId="0" xr:uid="{00000000-0006-0000-0100-000008000000}">
      <text>
        <r>
          <rPr>
            <sz val="8"/>
            <color indexed="81"/>
            <rFont val="Tahoma"/>
            <charset val="1"/>
          </rPr>
          <t>antal undervisningstimer på årsbasis opgjort i din opgaveoversigt</t>
        </r>
      </text>
    </comment>
    <comment ref="H32" authorId="0" shapeId="0" xr:uid="{00000000-0006-0000-0100-000009000000}">
      <text>
        <r>
          <rPr>
            <b/>
            <sz val="8"/>
            <color indexed="81"/>
            <rFont val="Tahoma"/>
          </rPr>
          <t>Skriv 1, hvis du er berettiget til tillægget.</t>
        </r>
      </text>
    </comment>
    <comment ref="H3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Skriv 1, hvis du er berettiget til tillægget.</t>
        </r>
      </text>
    </comment>
    <comment ref="H3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Skriv 1, hvis du er berettiget til tillægget.</t>
        </r>
      </text>
    </comment>
    <comment ref="H35" authorId="0" shapeId="0" xr:uid="{00000000-0006-0000-0100-00000C000000}">
      <text>
        <r>
          <rPr>
            <sz val="9"/>
            <color indexed="81"/>
            <rFont val="Tahoma"/>
            <family val="2"/>
          </rPr>
          <t>Skriv 1, hvis du er berettiget til tillægget.</t>
        </r>
      </text>
    </comment>
    <comment ref="H36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Skriv 1, hvis du er berettiget til tillægget.</t>
        </r>
      </text>
    </comment>
    <comment ref="H3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Skriv 1, hvis du er berettiget til tillægget.</t>
        </r>
      </text>
    </comment>
    <comment ref="H38" authorId="0" shapeId="0" xr:uid="{00000000-0006-0000-0100-00000F000000}">
      <text>
        <r>
          <rPr>
            <b/>
            <sz val="8"/>
            <color indexed="81"/>
            <rFont val="Tahoma"/>
          </rPr>
          <t>Skriv 1, hvis du er berettiget til tillægget.</t>
        </r>
      </text>
    </comment>
    <comment ref="H39" authorId="0" shapeId="0" xr:uid="{00000000-0006-0000-0100-000010000000}">
      <text>
        <r>
          <rPr>
            <b/>
            <sz val="8"/>
            <color indexed="81"/>
            <rFont val="Tahoma"/>
            <charset val="1"/>
          </rPr>
          <t>Skriv 1, hvis du er berettiget til tillægget.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H40" authorId="0" shapeId="0" xr:uid="{00000000-0006-0000-0100-000011000000}">
      <text>
        <r>
          <rPr>
            <sz val="8"/>
            <color indexed="81"/>
            <rFont val="Tahoma"/>
          </rPr>
          <t>Skriv 1, hvis du er berettiget til tillægget.</t>
        </r>
      </text>
    </comment>
    <comment ref="I42" authorId="0" shapeId="0" xr:uid="{00000000-0006-0000-0100-000012000000}">
      <text>
        <r>
          <rPr>
            <b/>
            <sz val="8"/>
            <color indexed="81"/>
            <rFont val="Tahoma"/>
          </rPr>
          <t>Klik på fanebladet "Ark 3" for at se løntrinene.
Skriv forskellen på de 2 løntrin i det gule felt.</t>
        </r>
        <r>
          <rPr>
            <sz val="8"/>
            <color indexed="81"/>
            <rFont val="Tahoma"/>
          </rPr>
          <t xml:space="preserve">
</t>
        </r>
      </text>
    </comment>
    <comment ref="H43" authorId="0" shapeId="0" xr:uid="{00000000-0006-0000-0100-000013000000}">
      <text>
        <r>
          <rPr>
            <b/>
            <sz val="8"/>
            <color indexed="81"/>
            <rFont val="Tahoma"/>
          </rPr>
          <t>Skriv 1, hvis du er berettiget til tillægget.</t>
        </r>
        <r>
          <rPr>
            <sz val="8"/>
            <color indexed="81"/>
            <rFont val="Tahoma"/>
          </rPr>
          <t xml:space="preserve">
</t>
        </r>
      </text>
    </comment>
    <comment ref="H44" authorId="0" shapeId="0" xr:uid="{00000000-0006-0000-0100-000014000000}">
      <text>
        <r>
          <rPr>
            <b/>
            <sz val="8"/>
            <color indexed="81"/>
            <rFont val="Tahoma"/>
            <charset val="1"/>
          </rPr>
          <t>Skriv 1 i feltet, hvis du er berettiget til tillægget.</t>
        </r>
      </text>
    </comment>
    <comment ref="B45" authorId="0" shapeId="0" xr:uid="{00000000-0006-0000-0100-000015000000}">
      <text>
        <r>
          <rPr>
            <sz val="8"/>
            <color indexed="81"/>
            <rFont val="Tahoma"/>
            <family val="2"/>
          </rPr>
          <t>Til lærere, der underviste i spec. klasser i skoleåret 2014/15 og stadig gør det i 2015/16</t>
        </r>
      </text>
    </comment>
    <comment ref="I45" authorId="0" shapeId="0" xr:uid="{00000000-0006-0000-0100-000016000000}">
      <text>
        <r>
          <rPr>
            <sz val="8"/>
            <color indexed="81"/>
            <rFont val="Tahoma"/>
          </rPr>
          <t>Indtast det årlige grundbeløb           (31.3.2000 niveau)</t>
        </r>
      </text>
    </comment>
    <comment ref="B46" authorId="0" shapeId="0" xr:uid="{00000000-0006-0000-0100-000017000000}">
      <text>
        <r>
          <rPr>
            <sz val="8"/>
            <color indexed="81"/>
            <rFont val="Tahoma"/>
          </rPr>
          <t>Til børnehaveklasseledere, der varetager særlig støtte til to-sprogede elever, undervisning af børnehaveklasseelever i dansk som andetsprog og støtte til fremme af sproglig udvikling for to-sprogede børn, som endnu ikke er påbegyndt skolegangen.</t>
        </r>
      </text>
    </comment>
    <comment ref="I46" authorId="0" shapeId="0" xr:uid="{00000000-0006-0000-0100-000018000000}">
      <text>
        <r>
          <rPr>
            <sz val="8"/>
            <color indexed="81"/>
            <rFont val="Tahoma"/>
          </rPr>
          <t>Skriv antallet af timer i det gule felt.</t>
        </r>
      </text>
    </comment>
    <comment ref="B47" authorId="0" shapeId="0" xr:uid="{00000000-0006-0000-0100-000019000000}">
      <text>
        <r>
          <rPr>
            <sz val="8"/>
            <color indexed="81"/>
            <rFont val="Tahoma"/>
            <charset val="1"/>
          </rPr>
          <t xml:space="preserve">§5 stk. 11
Til den, der varetager
1. tale-/høreundervisning af børn,
2. bistand til småbørn med sprog- og talevanskeligheder, og
3. undervisning i dansk som andetsprog i henhold til Undervisningsministeriets bekendtgørelse af 20. januar 2006,
ydes et ikke-pensionsgivende tillæg på 25,84 kr. pr. time.
Ydes der tillæg efter denne bestemmelse, kan der ikke ydes tillæg efter stk. 10 for de samme timer.
Lønseddeltekst: tale/høre tillæg.
</t>
        </r>
      </text>
    </comment>
  </commentList>
</comments>
</file>

<file path=xl/sharedStrings.xml><?xml version="1.0" encoding="utf-8"?>
<sst xmlns="http://schemas.openxmlformats.org/spreadsheetml/2006/main" count="143" uniqueCount="122">
  <si>
    <t>Kun gule felter må udfyldes!</t>
  </si>
  <si>
    <t>Pr. år</t>
  </si>
  <si>
    <t>Pr. måned</t>
  </si>
  <si>
    <t>Pris pr. enhed</t>
  </si>
  <si>
    <t>Gruppeliv</t>
  </si>
  <si>
    <t>Der tages forbehold for fejl i regnearket. Kontakt din tillidsmand eller kredsen, hvis du finder uoverensstemmelse med din lønseddel</t>
  </si>
  <si>
    <t>Dato:</t>
  </si>
  <si>
    <t>Reguleringsfaktor:</t>
  </si>
  <si>
    <t>Løntrin</t>
  </si>
  <si>
    <t>Løn i alt, bortset fra evt. overtid.</t>
  </si>
  <si>
    <t>Aftalte tillæg</t>
  </si>
  <si>
    <t>Noter din beskæftigelsesgrad i pct: (f.eks.: 100)</t>
  </si>
  <si>
    <t>* Diplomuddannelse:  Klik på fanebladet "Ark3" i bunden af skærmen og beregn forskellen på de 2 løntrin. Skriv resultatet i det gule felt</t>
  </si>
  <si>
    <t>Souschef / stedfortræder</t>
  </si>
  <si>
    <t>Vær opmærksom på, at regnearkene er for medlemmer af Danmarks Lærerforening, der er ansat på lærer/børnehaveklasseledervilkår i Nordfyns Kommune</t>
  </si>
  <si>
    <t>Når du er klar: tryk på pilen</t>
  </si>
  <si>
    <t>Klik på fanebladet "skema" for at vende tilbage til lønberegningsskemaet</t>
  </si>
  <si>
    <t xml:space="preserve">Gruppe 0 </t>
  </si>
  <si>
    <r>
      <t>Lærer,</t>
    </r>
    <r>
      <rPr>
        <sz val="10"/>
        <rFont val="Arial"/>
        <family val="2"/>
      </rPr>
      <t xml:space="preserve"> grundlønsforløb. </t>
    </r>
  </si>
  <si>
    <r>
      <t xml:space="preserve">Lærer, </t>
    </r>
    <r>
      <rPr>
        <sz val="10"/>
        <rFont val="Arial"/>
        <family val="2"/>
      </rPr>
      <t xml:space="preserve">personlig ordning. </t>
    </r>
  </si>
  <si>
    <r>
      <t>Børnehkl.</t>
    </r>
    <r>
      <rPr>
        <sz val="10"/>
        <rFont val="Arial"/>
        <family val="2"/>
      </rPr>
      <t xml:space="preserve"> grundlønsforløb.</t>
    </r>
  </si>
  <si>
    <r>
      <t>Børnehkl.</t>
    </r>
    <r>
      <rPr>
        <sz val="10"/>
        <rFont val="Arial"/>
        <family val="2"/>
      </rPr>
      <t xml:space="preserve"> personlig ordning. </t>
    </r>
  </si>
  <si>
    <t>Nordfynstillæg</t>
  </si>
  <si>
    <t>Regulering</t>
  </si>
  <si>
    <t>Tillæg, bhkl.</t>
  </si>
  <si>
    <t>Tillæg, lærere:</t>
  </si>
  <si>
    <t>Se note i det gule felt</t>
  </si>
  <si>
    <t>PD, grundlønsforløb:</t>
  </si>
  <si>
    <t>PD personlig ordning</t>
  </si>
  <si>
    <t>PD, personlig ordning, Hvis "ja" skriv 1 i det gule felt</t>
  </si>
  <si>
    <t>Nordfyns Lærerkreds</t>
  </si>
  <si>
    <t>Vestergade 3</t>
  </si>
  <si>
    <t>Særslev</t>
  </si>
  <si>
    <t>5471 Søndersø</t>
  </si>
  <si>
    <t>mail:</t>
  </si>
  <si>
    <t>Tryk her</t>
  </si>
  <si>
    <t>Tlf.:</t>
  </si>
  <si>
    <t>64 84 19 05</t>
  </si>
  <si>
    <t>Skriv 1 hvis tillæg skal udbetales</t>
  </si>
  <si>
    <t>Løn uden gruppeliv:</t>
  </si>
  <si>
    <t>Undervisning på 2 afdelinger, samme skole</t>
  </si>
  <si>
    <t>Undervisning på 3 afdelinger, samme skole</t>
  </si>
  <si>
    <t>TR funktion</t>
  </si>
  <si>
    <t>TR</t>
  </si>
  <si>
    <t>AMR, op til 25 ansatte</t>
  </si>
  <si>
    <t>AMR, op til 50 ansatte</t>
  </si>
  <si>
    <t>AMR, over 50 ansatte</t>
  </si>
  <si>
    <t>AMR for op til 25 ansatte</t>
  </si>
  <si>
    <t>AMR for op til 50 ansatte</t>
  </si>
  <si>
    <t>Tjek din lønseddel gældende fra</t>
  </si>
  <si>
    <t>PD grundlønsforløb</t>
  </si>
  <si>
    <t>1 løntrin</t>
  </si>
  <si>
    <t>Årsløn KTO-området</t>
  </si>
  <si>
    <t>26 13 48 51</t>
  </si>
  <si>
    <t>Pendlertillæg, undervisning på 2 selvstændige skoler</t>
  </si>
  <si>
    <t>Medlem af skolebestyrelsen</t>
  </si>
  <si>
    <t>Skolebestyrelse</t>
  </si>
  <si>
    <t>UV-tillæg bhkl. grundløn</t>
  </si>
  <si>
    <t>UV-tillæg bhkl. pers. ordning</t>
  </si>
  <si>
    <t>Regulerings-faktor:</t>
  </si>
  <si>
    <t>UV-tillæg over 751 timer, lærere grundlønsforløb/pers. ordning</t>
  </si>
  <si>
    <t>UV-tillæg over 835 timer bhkl. grundlønsforløb/personlig ordning</t>
  </si>
  <si>
    <t>Over 835 timer:</t>
  </si>
  <si>
    <t>Timer over 760</t>
  </si>
  <si>
    <t>UV-tillæg for 760 timer/år</t>
  </si>
  <si>
    <t>UV-tillæg over 760 timer/år</t>
  </si>
  <si>
    <t>Tillæg til bhkl. i forbindelse med uv. af to-sprogede elever §5.9</t>
  </si>
  <si>
    <t>Tillæg for tale/høreundervisning, bistand til småbørn med sprog- og talevanskeligheder og uv. i dansk som andetsprog §5.11</t>
  </si>
  <si>
    <t>Du skal kende din beskæftigelsesgrad, antal årlige undervisningstimer og din lønanciennitet.</t>
  </si>
  <si>
    <t>§5.9 Tillæg til bhkl. i forbindelse med uv. af to-sprogede elever</t>
  </si>
  <si>
    <t>§5.11 Tale- høre-uv. og sprog vansk samt dansk som 2. sprog</t>
  </si>
  <si>
    <t>§5.10 Spec.uv. enkeltinteg. elever &gt; 9 timer/uge, Indeholdt i NF-tillæg</t>
  </si>
  <si>
    <t>§5.8 Bhkl. spec. uv. i klasser</t>
  </si>
  <si>
    <t>§5.8 Spec.uv. i klasser</t>
  </si>
  <si>
    <t>§5.14 Pendlertillæg</t>
  </si>
  <si>
    <t>§5.14 Undervisning på 2 afdelinger</t>
  </si>
  <si>
    <t>§5.14 Undervisning på 3 afdelinger</t>
  </si>
  <si>
    <t>§5.7 Stedfortræder</t>
  </si>
  <si>
    <t>Du skal være uddannet og kende beskæftigelsesgrad, undervisningstimetal og erfaring.</t>
  </si>
  <si>
    <t xml:space="preserve">Hvad er din erfaring? </t>
  </si>
  <si>
    <t>Noteres i det gule felt ud for "Erfaring".</t>
  </si>
  <si>
    <t>Erfaring:</t>
  </si>
  <si>
    <t>Komp. for udfasning, forskel på de to satser</t>
  </si>
  <si>
    <t>Erfaring 0-4 år: skriv 1</t>
  </si>
  <si>
    <t>Erfaring 4-8 år: skriv 2</t>
  </si>
  <si>
    <t>Erfaring 8-12 år: skriv 3</t>
  </si>
  <si>
    <t>Erfaring over 12 år: skriv 4</t>
  </si>
  <si>
    <t>Grundløn og undervisningstillæg</t>
  </si>
  <si>
    <t>Hvis ja i "skema" felt G6 fratrækkes forslellen mellem de to tillæg for udfasning af 60-årsreglen</t>
  </si>
  <si>
    <t>Personligt tillæg for uv. i spec. klasse</t>
  </si>
  <si>
    <t>UV-tillæg lærer, grundløn OK15</t>
  </si>
  <si>
    <t>UV-tillæg lærer, pers. ordning OK15</t>
  </si>
  <si>
    <t>UV-tillæg 750&lt;760 timer, lærere Lokalaft.</t>
  </si>
  <si>
    <t>Samlet undervisertillæg, lærere grundløn</t>
  </si>
  <si>
    <t>Samlet undervisertillæg, lærere pers. ordning</t>
  </si>
  <si>
    <t>UV-tillæg for 835 timer/år</t>
  </si>
  <si>
    <t>UV-tillæg over 835 timer/år</t>
  </si>
  <si>
    <t>Komp. for udfasning af 60-årsregl, grundløn, bortfald 1.4.2016</t>
  </si>
  <si>
    <t>Komp. for udfasning af 60-års regel pers. ord. bortfald 1.4.2016</t>
  </si>
  <si>
    <t>Heldagsskoletillæg</t>
  </si>
  <si>
    <t>Heldagsskoletillæg, Hvis "ja" skriv 1 i det gule felt</t>
  </si>
  <si>
    <t>Konsulent</t>
  </si>
  <si>
    <t>Skolekonsulenter</t>
  </si>
  <si>
    <t>Skolepsykologer cand pæd psyk</t>
  </si>
  <si>
    <t>Tillæg efter 4 år</t>
  </si>
  <si>
    <t>Autorisationstillæg, psykolog</t>
  </si>
  <si>
    <t>Psykolog</t>
  </si>
  <si>
    <t>Autorisationstillæg</t>
  </si>
  <si>
    <t>Hvis ja: skriv "1"</t>
  </si>
  <si>
    <t>Nordfynstillæg fra 1.8.2019</t>
  </si>
  <si>
    <t>autorisation</t>
  </si>
  <si>
    <t>&lt; 4 år</t>
  </si>
  <si>
    <t>&gt; 4 år</t>
  </si>
  <si>
    <t>trin 43</t>
  </si>
  <si>
    <t>kvartal</t>
  </si>
  <si>
    <t>1 måned</t>
  </si>
  <si>
    <t>1 kvartal</t>
  </si>
  <si>
    <t>Satser 1.10 2022</t>
  </si>
  <si>
    <t xml:space="preserve">Almen tillæg folkeskole </t>
  </si>
  <si>
    <t>almen skoletillæg</t>
  </si>
  <si>
    <t>1.april 2025</t>
  </si>
  <si>
    <t>Lønberegningsskema for Nordfyns Kommune gældende fra                 1.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</si>
</sst>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0.000000"/>
    <numFmt numFmtId="166" formatCode="#,##0.000000"/>
    <numFmt numFmtId="167" formatCode="#,##0.0"/>
    <numFmt numFmtId="168" formatCode="_ * #,##0_ ;_ * \-#,##0_ ;_ * &quot;-&quot;??_ ;_ @_ 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sz val="18"/>
      <color indexed="9"/>
      <name val="Arial"/>
      <family val="2"/>
    </font>
    <font>
      <sz val="28"/>
      <name val="Wingdings"/>
      <charset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8"/>
      <color indexed="81"/>
      <name val="Tahoma"/>
    </font>
    <font>
      <b/>
      <sz val="16"/>
      <color indexed="9"/>
      <name val="Arial"/>
      <family val="2"/>
    </font>
    <font>
      <sz val="10"/>
      <name val="Verdana"/>
      <family val="2"/>
    </font>
    <font>
      <b/>
      <sz val="9"/>
      <name val="Verdana"/>
      <family val="2"/>
    </font>
    <font>
      <sz val="7.5"/>
      <name val="Verdana"/>
      <family val="2"/>
    </font>
    <font>
      <sz val="8"/>
      <name val="Verdana"/>
      <family val="2"/>
    </font>
    <font>
      <b/>
      <sz val="7.5"/>
      <name val="Verdana"/>
      <family val="2"/>
    </font>
    <font>
      <sz val="8"/>
      <name val="Arial"/>
    </font>
    <font>
      <sz val="26"/>
      <name val="Wingdings"/>
      <charset val="2"/>
    </font>
    <font>
      <sz val="12"/>
      <name val="Arial"/>
    </font>
    <font>
      <sz val="7.5"/>
      <name val="Arial"/>
      <family val="2"/>
    </font>
    <font>
      <sz val="12"/>
      <name val="TimesNewRomanPS"/>
    </font>
    <font>
      <b/>
      <sz val="9"/>
      <color indexed="12"/>
      <name val="Verdana"/>
      <family val="2"/>
    </font>
    <font>
      <b/>
      <sz val="8"/>
      <color indexed="81"/>
      <name val="Tahoma"/>
    </font>
    <font>
      <sz val="9"/>
      <name val="Arial"/>
      <family val="2"/>
    </font>
    <font>
      <u/>
      <sz val="12"/>
      <color indexed="12"/>
      <name val="Arial"/>
    </font>
    <font>
      <u/>
      <sz val="10"/>
      <color indexed="12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</font>
    <font>
      <b/>
      <sz val="12"/>
      <color indexed="10"/>
      <name val="Arial"/>
      <family val="2"/>
    </font>
    <font>
      <sz val="8"/>
      <color indexed="81"/>
      <name val="Tahoma"/>
      <family val="2"/>
    </font>
    <font>
      <sz val="9"/>
      <name val="Verdana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</font>
    <font>
      <sz val="20"/>
      <color theme="0"/>
      <name val="Arial"/>
      <family val="2"/>
    </font>
    <font>
      <sz val="10"/>
      <name val="Arial MT"/>
    </font>
    <font>
      <b/>
      <u/>
      <sz val="12"/>
      <color rgb="FF373D43"/>
      <name val="Tahoma"/>
      <family val="2"/>
    </font>
    <font>
      <sz val="10"/>
      <color rgb="FF373D43"/>
      <name val="Arial"/>
      <family val="2"/>
    </font>
    <font>
      <sz val="14"/>
      <color rgb="FF141E4D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164" fontId="3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42" fillId="0" borderId="0"/>
    <xf numFmtId="9" fontId="42" fillId="0" borderId="0" applyFont="0" applyFill="0" applyBorder="0" applyAlignment="0" applyProtection="0"/>
    <xf numFmtId="39" fontId="48" fillId="0" borderId="0"/>
    <xf numFmtId="0" fontId="3" fillId="0" borderId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</cellStyleXfs>
  <cellXfs count="315">
    <xf numFmtId="0" fontId="0" fillId="0" borderId="0" xfId="0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2" borderId="1" xfId="0" applyFill="1" applyBorder="1"/>
    <xf numFmtId="14" fontId="0" fillId="3" borderId="1" xfId="0" applyNumberFormat="1" applyFill="1" applyBorder="1"/>
    <xf numFmtId="165" fontId="0" fillId="0" borderId="0" xfId="0" applyNumberFormat="1"/>
    <xf numFmtId="4" fontId="0" fillId="0" borderId="0" xfId="0" applyNumberFormat="1"/>
    <xf numFmtId="0" fontId="0" fillId="2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7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4" fontId="7" fillId="0" borderId="2" xfId="0" applyNumberFormat="1" applyFont="1" applyBorder="1"/>
    <xf numFmtId="0" fontId="7" fillId="0" borderId="3" xfId="0" applyFont="1" applyBorder="1" applyAlignment="1">
      <alignment horizontal="center"/>
    </xf>
    <xf numFmtId="3" fontId="7" fillId="4" borderId="4" xfId="0" applyNumberFormat="1" applyFont="1" applyFill="1" applyBorder="1"/>
    <xf numFmtId="4" fontId="7" fillId="0" borderId="5" xfId="0" applyNumberFormat="1" applyFont="1" applyBorder="1"/>
    <xf numFmtId="4" fontId="7" fillId="0" borderId="0" xfId="0" applyNumberFormat="1" applyFont="1" applyAlignment="1">
      <alignment horizontal="right"/>
    </xf>
    <xf numFmtId="0" fontId="7" fillId="0" borderId="0" xfId="0" applyFont="1"/>
    <xf numFmtId="0" fontId="7" fillId="0" borderId="6" xfId="0" applyFont="1" applyBorder="1"/>
    <xf numFmtId="4" fontId="7" fillId="0" borderId="0" xfId="0" applyNumberFormat="1" applyFont="1"/>
    <xf numFmtId="0" fontId="7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/>
    </xf>
    <xf numFmtId="4" fontId="7" fillId="5" borderId="7" xfId="0" applyNumberFormat="1" applyFont="1" applyFill="1" applyBorder="1"/>
    <xf numFmtId="4" fontId="7" fillId="0" borderId="3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166" fontId="0" fillId="0" borderId="0" xfId="0" applyNumberFormat="1" applyAlignment="1">
      <alignment horizont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4" fontId="20" fillId="0" borderId="0" xfId="0" applyNumberFormat="1" applyFont="1" applyAlignment="1">
      <alignment wrapText="1"/>
    </xf>
    <xf numFmtId="4" fontId="22" fillId="0" borderId="0" xfId="0" applyNumberFormat="1" applyFont="1" applyAlignment="1">
      <alignment wrapText="1"/>
    </xf>
    <xf numFmtId="0" fontId="4" fillId="0" borderId="0" xfId="2" applyAlignment="1" applyProtection="1"/>
    <xf numFmtId="3" fontId="7" fillId="5" borderId="1" xfId="0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7" fillId="4" borderId="4" xfId="0" applyFont="1" applyFill="1" applyBorder="1"/>
    <xf numFmtId="0" fontId="7" fillId="4" borderId="4" xfId="0" applyFont="1" applyFill="1" applyBorder="1" applyAlignment="1">
      <alignment vertical="center"/>
    </xf>
    <xf numFmtId="0" fontId="0" fillId="6" borderId="0" xfId="0" applyFill="1"/>
    <xf numFmtId="0" fontId="11" fillId="5" borderId="0" xfId="0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0" fontId="0" fillId="0" borderId="9" xfId="0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9" xfId="0" applyFill="1" applyBorder="1"/>
    <xf numFmtId="0" fontId="0" fillId="0" borderId="13" xfId="0" applyBorder="1"/>
    <xf numFmtId="0" fontId="0" fillId="6" borderId="14" xfId="0" applyFill="1" applyBorder="1"/>
    <xf numFmtId="0" fontId="0" fillId="5" borderId="3" xfId="0" applyFill="1" applyBorder="1"/>
    <xf numFmtId="0" fontId="0" fillId="5" borderId="0" xfId="0" applyFill="1"/>
    <xf numFmtId="0" fontId="0" fillId="5" borderId="15" xfId="0" applyFill="1" applyBorder="1"/>
    <xf numFmtId="0" fontId="0" fillId="5" borderId="8" xfId="0" applyFill="1" applyBorder="1"/>
    <xf numFmtId="0" fontId="0" fillId="5" borderId="16" xfId="0" applyFill="1" applyBorder="1"/>
    <xf numFmtId="0" fontId="0" fillId="5" borderId="17" xfId="0" applyFill="1" applyBorder="1"/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9" fontId="27" fillId="0" borderId="0" xfId="0" applyNumberFormat="1" applyFont="1"/>
    <xf numFmtId="1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 wrapText="1"/>
    </xf>
    <xf numFmtId="0" fontId="26" fillId="0" borderId="0" xfId="0" applyFont="1"/>
    <xf numFmtId="37" fontId="27" fillId="0" borderId="0" xfId="0" applyNumberFormat="1" applyFont="1"/>
    <xf numFmtId="4" fontId="20" fillId="0" borderId="0" xfId="0" applyNumberFormat="1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26" fillId="0" borderId="0" xfId="0" applyFont="1" applyAlignment="1">
      <alignment horizontal="right"/>
    </xf>
    <xf numFmtId="0" fontId="22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wrapText="1"/>
    </xf>
    <xf numFmtId="37" fontId="7" fillId="0" borderId="3" xfId="0" applyNumberFormat="1" applyFont="1" applyBorder="1"/>
    <xf numFmtId="4" fontId="13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4" fontId="7" fillId="0" borderId="6" xfId="0" applyNumberFormat="1" applyFont="1" applyBorder="1"/>
    <xf numFmtId="3" fontId="14" fillId="0" borderId="0" xfId="0" applyNumberFormat="1" applyFont="1"/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wrapText="1"/>
    </xf>
    <xf numFmtId="0" fontId="0" fillId="0" borderId="0" xfId="0" applyAlignment="1">
      <alignment readingOrder="1"/>
    </xf>
    <xf numFmtId="0" fontId="13" fillId="2" borderId="1" xfId="0" applyFont="1" applyFill="1" applyBorder="1"/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10" borderId="0" xfId="0" applyFont="1" applyFill="1"/>
    <xf numFmtId="0" fontId="0" fillId="6" borderId="13" xfId="0" applyFill="1" applyBorder="1"/>
    <xf numFmtId="0" fontId="0" fillId="2" borderId="1" xfId="0" applyFill="1" applyBorder="1" applyAlignment="1">
      <alignment wrapText="1"/>
    </xf>
    <xf numFmtId="4" fontId="7" fillId="0" borderId="2" xfId="0" applyNumberFormat="1" applyFont="1" applyBorder="1" applyAlignment="1">
      <alignment horizontal="right" vertical="center"/>
    </xf>
    <xf numFmtId="4" fontId="7" fillId="9" borderId="1" xfId="0" applyNumberFormat="1" applyFont="1" applyFill="1" applyBorder="1"/>
    <xf numFmtId="0" fontId="0" fillId="0" borderId="0" xfId="0" quotePrefix="1"/>
    <xf numFmtId="0" fontId="13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7" fillId="0" borderId="20" xfId="0" applyFont="1" applyBorder="1" applyAlignment="1">
      <alignment horizontal="center"/>
    </xf>
    <xf numFmtId="3" fontId="14" fillId="0" borderId="21" xfId="0" applyNumberFormat="1" applyFont="1" applyBorder="1"/>
    <xf numFmtId="4" fontId="7" fillId="0" borderId="20" xfId="0" applyNumberFormat="1" applyFont="1" applyBorder="1"/>
    <xf numFmtId="4" fontId="7" fillId="0" borderId="3" xfId="0" applyNumberFormat="1" applyFont="1" applyBorder="1"/>
    <xf numFmtId="3" fontId="14" fillId="0" borderId="15" xfId="0" applyNumberFormat="1" applyFont="1" applyBorder="1"/>
    <xf numFmtId="3" fontId="7" fillId="11" borderId="1" xfId="0" applyNumberFormat="1" applyFont="1" applyFill="1" applyBorder="1" applyAlignment="1">
      <alignment horizontal="center" vertical="center"/>
    </xf>
    <xf numFmtId="0" fontId="6" fillId="0" borderId="2" xfId="0" applyFont="1" applyBorder="1"/>
    <xf numFmtId="167" fontId="14" fillId="12" borderId="4" xfId="0" applyNumberFormat="1" applyFont="1" applyFill="1" applyBorder="1"/>
    <xf numFmtId="167" fontId="14" fillId="12" borderId="5" xfId="0" applyNumberFormat="1" applyFont="1" applyFill="1" applyBorder="1"/>
    <xf numFmtId="167" fontId="14" fillId="11" borderId="1" xfId="0" applyNumberFormat="1" applyFont="1" applyFill="1" applyBorder="1"/>
    <xf numFmtId="167" fontId="7" fillId="0" borderId="2" xfId="0" applyNumberFormat="1" applyFont="1" applyBorder="1"/>
    <xf numFmtId="4" fontId="7" fillId="0" borderId="15" xfId="0" applyNumberFormat="1" applyFont="1" applyBorder="1"/>
    <xf numFmtId="0" fontId="7" fillId="2" borderId="1" xfId="0" applyFont="1" applyFill="1" applyBorder="1" applyAlignment="1">
      <alignment vertical="center" wrapText="1"/>
    </xf>
    <xf numFmtId="0" fontId="0" fillId="13" borderId="12" xfId="0" applyFill="1" applyBorder="1"/>
    <xf numFmtId="0" fontId="0" fillId="13" borderId="13" xfId="0" applyFill="1" applyBorder="1"/>
    <xf numFmtId="0" fontId="0" fillId="13" borderId="11" xfId="0" applyFill="1" applyBorder="1"/>
    <xf numFmtId="0" fontId="0" fillId="13" borderId="9" xfId="0" applyFill="1" applyBorder="1"/>
    <xf numFmtId="0" fontId="0" fillId="13" borderId="0" xfId="0" applyFill="1"/>
    <xf numFmtId="0" fontId="25" fillId="13" borderId="0" xfId="0" applyFont="1" applyFill="1" applyAlignment="1">
      <alignment horizontal="right"/>
    </xf>
    <xf numFmtId="0" fontId="31" fillId="13" borderId="0" xfId="2" applyFont="1" applyFill="1" applyBorder="1" applyAlignment="1" applyProtection="1"/>
    <xf numFmtId="0" fontId="0" fillId="13" borderId="10" xfId="0" applyFill="1" applyBorder="1"/>
    <xf numFmtId="0" fontId="4" fillId="13" borderId="0" xfId="2" applyFill="1" applyBorder="1" applyAlignment="1" applyProtection="1"/>
    <xf numFmtId="0" fontId="6" fillId="13" borderId="0" xfId="0" applyFont="1" applyFill="1" applyAlignment="1">
      <alignment horizontal="left"/>
    </xf>
    <xf numFmtId="0" fontId="0" fillId="13" borderId="22" xfId="0" applyFill="1" applyBorder="1"/>
    <xf numFmtId="0" fontId="0" fillId="13" borderId="14" xfId="0" applyFill="1" applyBorder="1"/>
    <xf numFmtId="0" fontId="24" fillId="13" borderId="14" xfId="0" applyFont="1" applyFill="1" applyBorder="1"/>
    <xf numFmtId="0" fontId="0" fillId="13" borderId="23" xfId="0" applyFill="1" applyBorder="1"/>
    <xf numFmtId="0" fontId="13" fillId="0" borderId="21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3" fontId="6" fillId="0" borderId="6" xfId="0" applyNumberFormat="1" applyFont="1" applyBorder="1"/>
    <xf numFmtId="0" fontId="7" fillId="0" borderId="1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2" fontId="7" fillId="0" borderId="0" xfId="0" quotePrefix="1" applyNumberFormat="1" applyFont="1"/>
    <xf numFmtId="164" fontId="6" fillId="0" borderId="0" xfId="1" applyFont="1"/>
    <xf numFmtId="3" fontId="43" fillId="0" borderId="0" xfId="0" applyNumberFormat="1" applyFont="1"/>
    <xf numFmtId="0" fontId="27" fillId="0" borderId="0" xfId="0" applyFont="1"/>
    <xf numFmtId="3" fontId="0" fillId="0" borderId="0" xfId="0" applyNumberFormat="1"/>
    <xf numFmtId="4" fontId="7" fillId="14" borderId="2" xfId="0" applyNumberFormat="1" applyFont="1" applyFill="1" applyBorder="1"/>
    <xf numFmtId="2" fontId="7" fillId="14" borderId="2" xfId="0" applyNumberFormat="1" applyFont="1" applyFill="1" applyBorder="1"/>
    <xf numFmtId="4" fontId="7" fillId="14" borderId="7" xfId="0" applyNumberFormat="1" applyFont="1" applyFill="1" applyBorder="1" applyAlignment="1">
      <alignment vertical="center"/>
    </xf>
    <xf numFmtId="2" fontId="7" fillId="14" borderId="7" xfId="0" applyNumberFormat="1" applyFont="1" applyFill="1" applyBorder="1" applyAlignment="1">
      <alignment vertical="center"/>
    </xf>
    <xf numFmtId="0" fontId="7" fillId="14" borderId="3" xfId="0" applyFont="1" applyFill="1" applyBorder="1" applyAlignment="1">
      <alignment horizontal="center"/>
    </xf>
    <xf numFmtId="0" fontId="30" fillId="14" borderId="20" xfId="0" applyFont="1" applyFill="1" applyBorder="1" applyAlignment="1">
      <alignment horizontal="center" vertical="center" textRotation="90" wrapText="1"/>
    </xf>
    <xf numFmtId="0" fontId="7" fillId="14" borderId="8" xfId="0" applyFont="1" applyFill="1" applyBorder="1" applyAlignment="1">
      <alignment horizontal="center"/>
    </xf>
    <xf numFmtId="0" fontId="7" fillId="4" borderId="1" xfId="0" applyFont="1" applyFill="1" applyBorder="1"/>
    <xf numFmtId="164" fontId="0" fillId="0" borderId="0" xfId="1" applyFont="1" applyBorder="1"/>
    <xf numFmtId="0" fontId="44" fillId="0" borderId="0" xfId="0" applyFont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13" fillId="0" borderId="25" xfId="0" applyFont="1" applyBorder="1" applyAlignment="1">
      <alignment horizontal="center" wrapText="1"/>
    </xf>
    <xf numFmtId="0" fontId="0" fillId="0" borderId="26" xfId="0" applyBorder="1"/>
    <xf numFmtId="0" fontId="7" fillId="0" borderId="27" xfId="0" applyFont="1" applyBorder="1" applyAlignment="1">
      <alignment horizontal="center"/>
    </xf>
    <xf numFmtId="0" fontId="21" fillId="0" borderId="28" xfId="0" applyFont="1" applyBorder="1" applyAlignment="1">
      <alignment wrapText="1"/>
    </xf>
    <xf numFmtId="39" fontId="27" fillId="0" borderId="28" xfId="0" applyNumberFormat="1" applyFont="1" applyBorder="1"/>
    <xf numFmtId="0" fontId="0" fillId="0" borderId="27" xfId="0" applyBorder="1"/>
    <xf numFmtId="0" fontId="0" fillId="0" borderId="28" xfId="0" applyBorder="1"/>
    <xf numFmtId="3" fontId="7" fillId="0" borderId="27" xfId="0" applyNumberFormat="1" applyFont="1" applyBorder="1" applyAlignment="1">
      <alignment horizontal="center" wrapText="1"/>
    </xf>
    <xf numFmtId="3" fontId="7" fillId="0" borderId="27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39" fontId="27" fillId="0" borderId="30" xfId="0" applyNumberFormat="1" applyFont="1" applyBorder="1"/>
    <xf numFmtId="0" fontId="5" fillId="7" borderId="25" xfId="0" applyFont="1" applyFill="1" applyBorder="1" applyAlignment="1">
      <alignment horizontal="center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Border="1"/>
    <xf numFmtId="39" fontId="7" fillId="0" borderId="28" xfId="0" applyNumberFormat="1" applyFont="1" applyBorder="1"/>
    <xf numFmtId="0" fontId="7" fillId="0" borderId="28" xfId="0" applyFont="1" applyBorder="1" applyAlignment="1">
      <alignment horizontal="right"/>
    </xf>
    <xf numFmtId="4" fontId="7" fillId="0" borderId="28" xfId="0" applyNumberFormat="1" applyFont="1" applyBorder="1" applyAlignment="1">
      <alignment horizontal="right" wrapText="1"/>
    </xf>
    <xf numFmtId="4" fontId="7" fillId="0" borderId="27" xfId="0" applyNumberFormat="1" applyFont="1" applyBorder="1" applyAlignment="1">
      <alignment horizontal="right" wrapText="1"/>
    </xf>
    <xf numFmtId="4" fontId="13" fillId="0" borderId="27" xfId="0" applyNumberFormat="1" applyFont="1" applyBorder="1" applyAlignment="1">
      <alignment horizontal="right" wrapText="1"/>
    </xf>
    <xf numFmtId="4" fontId="13" fillId="0" borderId="28" xfId="0" applyNumberFormat="1" applyFont="1" applyBorder="1" applyAlignment="1">
      <alignment horizontal="right" wrapText="1"/>
    </xf>
    <xf numFmtId="4" fontId="7" fillId="0" borderId="31" xfId="0" applyNumberFormat="1" applyFont="1" applyBorder="1" applyAlignment="1">
      <alignment horizontal="right" wrapText="1"/>
    </xf>
    <xf numFmtId="4" fontId="7" fillId="0" borderId="29" xfId="0" applyNumberFormat="1" applyFont="1" applyBorder="1" applyAlignment="1">
      <alignment horizontal="right" wrapText="1"/>
    </xf>
    <xf numFmtId="4" fontId="7" fillId="0" borderId="30" xfId="0" applyNumberFormat="1" applyFont="1" applyBorder="1" applyAlignment="1">
      <alignment horizontal="right" wrapText="1"/>
    </xf>
    <xf numFmtId="3" fontId="7" fillId="14" borderId="0" xfId="0" applyNumberFormat="1" applyFont="1" applyFill="1"/>
    <xf numFmtId="164" fontId="7" fillId="0" borderId="0" xfId="1" applyFont="1"/>
    <xf numFmtId="4" fontId="19" fillId="0" borderId="0" xfId="0" applyNumberFormat="1" applyFont="1" applyAlignment="1">
      <alignment wrapText="1"/>
    </xf>
    <xf numFmtId="4" fontId="40" fillId="0" borderId="0" xfId="0" applyNumberFormat="1" applyFont="1" applyAlignment="1">
      <alignment wrapText="1"/>
    </xf>
    <xf numFmtId="14" fontId="0" fillId="15" borderId="1" xfId="0" applyNumberFormat="1" applyFill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right"/>
    </xf>
    <xf numFmtId="4" fontId="7" fillId="0" borderId="7" xfId="0" applyNumberFormat="1" applyFont="1" applyBorder="1"/>
    <xf numFmtId="0" fontId="45" fillId="16" borderId="2" xfId="0" applyFont="1" applyFill="1" applyBorder="1" applyAlignment="1">
      <alignment horizontal="center"/>
    </xf>
    <xf numFmtId="0" fontId="45" fillId="16" borderId="7" xfId="0" applyFont="1" applyFill="1" applyBorder="1" applyAlignment="1">
      <alignment horizontal="center"/>
    </xf>
    <xf numFmtId="0" fontId="45" fillId="16" borderId="5" xfId="0" applyFont="1" applyFill="1" applyBorder="1" applyAlignment="1">
      <alignment horizontal="center"/>
    </xf>
    <xf numFmtId="167" fontId="7" fillId="0" borderId="15" xfId="0" applyNumberFormat="1" applyFont="1" applyBorder="1"/>
    <xf numFmtId="0" fontId="13" fillId="11" borderId="4" xfId="0" applyFont="1" applyFill="1" applyBorder="1" applyAlignment="1">
      <alignment horizontal="center"/>
    </xf>
    <xf numFmtId="167" fontId="14" fillId="11" borderId="5" xfId="0" applyNumberFormat="1" applyFont="1" applyFill="1" applyBorder="1"/>
    <xf numFmtId="0" fontId="13" fillId="11" borderId="8" xfId="0" applyFont="1" applyFill="1" applyBorder="1" applyAlignment="1">
      <alignment horizontal="center"/>
    </xf>
    <xf numFmtId="167" fontId="7" fillId="0" borderId="6" xfId="0" applyNumberFormat="1" applyFont="1" applyBorder="1"/>
    <xf numFmtId="0" fontId="7" fillId="0" borderId="8" xfId="0" applyFont="1" applyBorder="1" applyAlignment="1">
      <alignment horizontal="center"/>
    </xf>
    <xf numFmtId="4" fontId="7" fillId="0" borderId="16" xfId="0" applyNumberFormat="1" applyFont="1" applyBorder="1" applyAlignment="1">
      <alignment horizontal="right"/>
    </xf>
    <xf numFmtId="167" fontId="14" fillId="0" borderId="16" xfId="0" applyNumberFormat="1" applyFont="1" applyBorder="1"/>
    <xf numFmtId="167" fontId="7" fillId="0" borderId="17" xfId="0" applyNumberFormat="1" applyFont="1" applyBorder="1"/>
    <xf numFmtId="0" fontId="7" fillId="0" borderId="16" xfId="0" applyFont="1" applyBorder="1"/>
    <xf numFmtId="4" fontId="7" fillId="0" borderId="24" xfId="0" applyNumberFormat="1" applyFont="1" applyBorder="1" applyAlignment="1">
      <alignment horizontal="right" wrapText="1"/>
    </xf>
    <xf numFmtId="4" fontId="7" fillId="0" borderId="25" xfId="0" applyNumberFormat="1" applyFont="1" applyBorder="1" applyAlignment="1">
      <alignment horizontal="right" wrapText="1"/>
    </xf>
    <xf numFmtId="4" fontId="7" fillId="0" borderId="25" xfId="0" applyNumberFormat="1" applyFont="1" applyBorder="1"/>
    <xf numFmtId="164" fontId="7" fillId="0" borderId="25" xfId="1" applyFont="1" applyBorder="1"/>
    <xf numFmtId="4" fontId="7" fillId="0" borderId="29" xfId="0" applyNumberFormat="1" applyFont="1" applyBorder="1"/>
    <xf numFmtId="164" fontId="7" fillId="0" borderId="29" xfId="1" applyFont="1" applyBorder="1"/>
    <xf numFmtId="3" fontId="14" fillId="12" borderId="1" xfId="0" applyNumberFormat="1" applyFont="1" applyFill="1" applyBorder="1"/>
    <xf numFmtId="39" fontId="7" fillId="0" borderId="30" xfId="0" applyNumberFormat="1" applyFont="1" applyBorder="1"/>
    <xf numFmtId="39" fontId="13" fillId="0" borderId="25" xfId="0" applyNumberFormat="1" applyFont="1" applyBorder="1"/>
    <xf numFmtId="4" fontId="13" fillId="0" borderId="24" xfId="0" applyNumberFormat="1" applyFont="1" applyBorder="1" applyAlignment="1">
      <alignment vertical="center" wrapText="1"/>
    </xf>
    <xf numFmtId="37" fontId="7" fillId="0" borderId="25" xfId="0" applyNumberFormat="1" applyFont="1" applyBorder="1"/>
    <xf numFmtId="39" fontId="7" fillId="0" borderId="25" xfId="0" applyNumberFormat="1" applyFont="1" applyBorder="1"/>
    <xf numFmtId="4" fontId="7" fillId="0" borderId="26" xfId="0" applyNumberFormat="1" applyFont="1" applyBorder="1" applyAlignment="1">
      <alignment wrapText="1"/>
    </xf>
    <xf numFmtId="4" fontId="7" fillId="0" borderId="31" xfId="0" applyNumberFormat="1" applyFont="1" applyBorder="1" applyAlignment="1">
      <alignment horizontal="left"/>
    </xf>
    <xf numFmtId="0" fontId="7" fillId="0" borderId="29" xfId="0" applyFont="1" applyBorder="1"/>
    <xf numFmtId="39" fontId="7" fillId="0" borderId="29" xfId="0" applyNumberFormat="1" applyFont="1" applyBorder="1"/>
    <xf numFmtId="4" fontId="7" fillId="0" borderId="30" xfId="0" applyNumberFormat="1" applyFont="1" applyBorder="1" applyAlignment="1">
      <alignment wrapText="1"/>
    </xf>
    <xf numFmtId="4" fontId="0" fillId="0" borderId="0" xfId="0" applyNumberFormat="1" applyAlignment="1">
      <alignment horizontal="right"/>
    </xf>
    <xf numFmtId="3" fontId="46" fillId="0" borderId="0" xfId="0" applyNumberFormat="1" applyFont="1"/>
    <xf numFmtId="0" fontId="46" fillId="0" borderId="0" xfId="0" applyFont="1"/>
    <xf numFmtId="0" fontId="0" fillId="0" borderId="0" xfId="0" quotePrefix="1" applyAlignment="1">
      <alignment horizontal="center"/>
    </xf>
    <xf numFmtId="3" fontId="0" fillId="0" borderId="0" xfId="0" quotePrefix="1" applyNumberFormat="1" applyAlignment="1">
      <alignment horizontal="center"/>
    </xf>
    <xf numFmtId="4" fontId="7" fillId="0" borderId="0" xfId="0" applyNumberFormat="1" applyFont="1" applyAlignment="1">
      <alignment wrapText="1"/>
    </xf>
    <xf numFmtId="4" fontId="18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wrapText="1"/>
    </xf>
    <xf numFmtId="168" fontId="0" fillId="0" borderId="0" xfId="1" applyNumberFormat="1" applyFont="1" applyBorder="1"/>
    <xf numFmtId="0" fontId="1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4" fontId="6" fillId="0" borderId="0" xfId="0" applyNumberFormat="1" applyFont="1"/>
    <xf numFmtId="0" fontId="0" fillId="0" borderId="0" xfId="0" applyAlignment="1">
      <alignment horizontal="center"/>
    </xf>
    <xf numFmtId="0" fontId="49" fillId="0" borderId="0" xfId="0" applyFont="1"/>
    <xf numFmtId="165" fontId="50" fillId="0" borderId="0" xfId="0" applyNumberFormat="1" applyFont="1" applyAlignment="1">
      <alignment horizontal="center"/>
    </xf>
    <xf numFmtId="0" fontId="51" fillId="0" borderId="0" xfId="0" applyFont="1"/>
    <xf numFmtId="166" fontId="7" fillId="12" borderId="1" xfId="9" applyNumberFormat="1" applyFill="1" applyBorder="1" applyAlignment="1">
      <alignment horizontal="center"/>
    </xf>
    <xf numFmtId="37" fontId="41" fillId="0" borderId="3" xfId="0" applyNumberFormat="1" applyFont="1" applyBorder="1"/>
    <xf numFmtId="37" fontId="41" fillId="0" borderId="8" xfId="0" applyNumberFormat="1" applyFont="1" applyBorder="1"/>
    <xf numFmtId="0" fontId="25" fillId="13" borderId="14" xfId="0" applyFont="1" applyFill="1" applyBorder="1"/>
    <xf numFmtId="0" fontId="25" fillId="13" borderId="0" xfId="0" applyFont="1" applyFill="1"/>
    <xf numFmtId="0" fontId="5" fillId="13" borderId="13" xfId="0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47" fillId="17" borderId="8" xfId="0" applyFont="1" applyFill="1" applyBorder="1" applyAlignment="1">
      <alignment horizontal="center"/>
    </xf>
    <xf numFmtId="0" fontId="47" fillId="17" borderId="16" xfId="0" applyFont="1" applyFill="1" applyBorder="1" applyAlignment="1">
      <alignment horizontal="center"/>
    </xf>
    <xf numFmtId="0" fontId="47" fillId="17" borderId="17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25" fillId="5" borderId="15" xfId="0" applyFont="1" applyFill="1" applyBorder="1" applyAlignment="1">
      <alignment horizontal="center"/>
    </xf>
    <xf numFmtId="0" fontId="25" fillId="5" borderId="16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/>
    </xf>
    <xf numFmtId="0" fontId="13" fillId="5" borderId="18" xfId="0" applyFont="1" applyFill="1" applyBorder="1"/>
    <xf numFmtId="0" fontId="7" fillId="5" borderId="18" xfId="0" applyFont="1" applyFill="1" applyBorder="1"/>
    <xf numFmtId="0" fontId="7" fillId="5" borderId="19" xfId="0" applyFont="1" applyFill="1" applyBorder="1"/>
    <xf numFmtId="0" fontId="7" fillId="0" borderId="20" xfId="0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3" fillId="11" borderId="18" xfId="0" applyFont="1" applyFill="1" applyBorder="1"/>
    <xf numFmtId="0" fontId="7" fillId="11" borderId="18" xfId="0" applyFont="1" applyFill="1" applyBorder="1"/>
    <xf numFmtId="0" fontId="7" fillId="11" borderId="19" xfId="0" applyFont="1" applyFill="1" applyBorder="1"/>
    <xf numFmtId="0" fontId="7" fillId="0" borderId="0" xfId="0" applyFont="1" applyAlignment="1">
      <alignment horizontal="left"/>
    </xf>
    <xf numFmtId="0" fontId="17" fillId="8" borderId="4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3" fillId="0" borderId="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38" fillId="4" borderId="4" xfId="0" applyFont="1" applyFill="1" applyBorder="1" applyAlignment="1">
      <alignment horizontal="center" vertical="center"/>
    </xf>
    <xf numFmtId="0" fontId="38" fillId="4" borderId="18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/>
    </xf>
    <xf numFmtId="0" fontId="7" fillId="0" borderId="0" xfId="0" applyFont="1"/>
    <xf numFmtId="0" fontId="13" fillId="5" borderId="18" xfId="0" applyFont="1" applyFill="1" applyBorder="1" applyAlignment="1">
      <alignment horizontal="left"/>
    </xf>
    <xf numFmtId="0" fontId="7" fillId="5" borderId="18" xfId="0" applyFont="1" applyFill="1" applyBorder="1" applyAlignment="1">
      <alignment horizontal="left"/>
    </xf>
    <xf numFmtId="0" fontId="7" fillId="5" borderId="19" xfId="0" applyFont="1" applyFill="1" applyBorder="1" applyAlignment="1">
      <alignment horizontal="left"/>
    </xf>
    <xf numFmtId="0" fontId="13" fillId="5" borderId="4" xfId="0" applyFont="1" applyFill="1" applyBorder="1" applyAlignment="1">
      <alignment vertical="center"/>
    </xf>
    <xf numFmtId="0" fontId="13" fillId="5" borderId="18" xfId="0" applyFont="1" applyFill="1" applyBorder="1" applyAlignment="1">
      <alignment vertical="center"/>
    </xf>
    <xf numFmtId="0" fontId="13" fillId="5" borderId="19" xfId="0" applyFont="1" applyFill="1" applyBorder="1" applyAlignment="1">
      <alignment vertical="center"/>
    </xf>
    <xf numFmtId="0" fontId="13" fillId="11" borderId="18" xfId="0" applyFont="1" applyFill="1" applyBorder="1" applyAlignment="1">
      <alignment horizontal="left"/>
    </xf>
    <xf numFmtId="0" fontId="13" fillId="11" borderId="19" xfId="0" applyFont="1" applyFill="1" applyBorder="1" applyAlignment="1">
      <alignment horizontal="left"/>
    </xf>
    <xf numFmtId="0" fontId="13" fillId="11" borderId="16" xfId="0" applyFont="1" applyFill="1" applyBorder="1" applyAlignment="1">
      <alignment horizontal="left"/>
    </xf>
    <xf numFmtId="0" fontId="13" fillId="11" borderId="17" xfId="0" applyFont="1" applyFill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6" xfId="0" applyFont="1" applyBorder="1" applyAlignment="1">
      <alignment horizontal="right"/>
    </xf>
    <xf numFmtId="0" fontId="7" fillId="14" borderId="0" xfId="0" applyFont="1" applyFill="1"/>
    <xf numFmtId="0" fontId="7" fillId="14" borderId="15" xfId="0" applyFont="1" applyFill="1" applyBorder="1"/>
    <xf numFmtId="0" fontId="7" fillId="14" borderId="16" xfId="0" applyFont="1" applyFill="1" applyBorder="1" applyAlignment="1">
      <alignment vertical="center" wrapText="1"/>
    </xf>
    <xf numFmtId="0" fontId="7" fillId="14" borderId="17" xfId="0" applyFont="1" applyFill="1" applyBorder="1" applyAlignment="1">
      <alignment vertical="center" wrapText="1"/>
    </xf>
    <xf numFmtId="0" fontId="7" fillId="0" borderId="15" xfId="0" applyFont="1" applyBorder="1"/>
    <xf numFmtId="0" fontId="7" fillId="0" borderId="21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4" xfId="0" applyFont="1" applyFill="1" applyBorder="1"/>
    <xf numFmtId="0" fontId="7" fillId="14" borderId="21" xfId="0" applyFont="1" applyFill="1" applyBorder="1" applyAlignment="1">
      <alignment horizontal="left"/>
    </xf>
    <xf numFmtId="0" fontId="7" fillId="14" borderId="6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</cellXfs>
  <cellStyles count="12">
    <cellStyle name="Komma" xfId="1" builtinId="3"/>
    <cellStyle name="Komma 2" xfId="10" xr:uid="{0144C4B5-A6DF-4373-B9D4-1CD41EC282EF}"/>
    <cellStyle name="Link" xfId="2" builtinId="8"/>
    <cellStyle name="Link 2" xfId="3" xr:uid="{00000000-0005-0000-0000-000002000000}"/>
    <cellStyle name="Normal" xfId="0" builtinId="0"/>
    <cellStyle name="Normal 2" xfId="4" xr:uid="{00000000-0005-0000-0000-000004000000}"/>
    <cellStyle name="Normal 3" xfId="6" xr:uid="{538BA7EE-BFAE-43B3-A601-376B30A1467B}"/>
    <cellStyle name="Normal 3 2" xfId="11" xr:uid="{A888BE7B-B339-4DDD-A8BE-17E718A75845}"/>
    <cellStyle name="Normal 4" xfId="7" xr:uid="{1BDD435C-1DE3-471E-9B5D-B89EB94C1954}"/>
    <cellStyle name="Normal 5" xfId="8" xr:uid="{B8115EF4-4C40-414F-B385-0CC2B3C93FF1}"/>
    <cellStyle name="Normal 6" xfId="9" xr:uid="{F70F967E-1323-4AA5-88AF-6CAA0523E3DB}"/>
    <cellStyle name="Pro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kem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114300</xdr:rowOff>
    </xdr:from>
    <xdr:to>
      <xdr:col>10</xdr:col>
      <xdr:colOff>428625</xdr:colOff>
      <xdr:row>8</xdr:row>
      <xdr:rowOff>342900</xdr:rowOff>
    </xdr:to>
    <xdr:sp macro="" textlink="">
      <xdr:nvSpPr>
        <xdr:cNvPr id="1190" name="AutoShap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rrowheads="1"/>
        </xdr:cNvSpPr>
      </xdr:nvSpPr>
      <xdr:spPr bwMode="auto">
        <a:xfrm rot="-5400000">
          <a:off x="5334000" y="2381250"/>
          <a:ext cx="438150" cy="2209800"/>
        </a:xfrm>
        <a:prstGeom prst="downArrow">
          <a:avLst>
            <a:gd name="adj1" fmla="val 47833"/>
            <a:gd name="adj2" fmla="val 8226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180975</xdr:rowOff>
    </xdr:to>
    <xdr:pic>
      <xdr:nvPicPr>
        <xdr:cNvPr id="12312" name="Picture 1" descr="space">
          <a:extLst>
            <a:ext uri="{FF2B5EF4-FFF2-40B4-BE49-F238E27FC236}">
              <a16:creationId xmlns:a16="http://schemas.microsoft.com/office/drawing/2014/main" id="{00000000-0008-0000-0300-000018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180975</xdr:rowOff>
    </xdr:to>
    <xdr:pic>
      <xdr:nvPicPr>
        <xdr:cNvPr id="12313" name="Picture 2" descr="space">
          <a:extLst>
            <a:ext uri="{FF2B5EF4-FFF2-40B4-BE49-F238E27FC236}">
              <a16:creationId xmlns:a16="http://schemas.microsoft.com/office/drawing/2014/main" id="{00000000-0008-0000-0300-00001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180975</xdr:rowOff>
    </xdr:to>
    <xdr:pic>
      <xdr:nvPicPr>
        <xdr:cNvPr id="12314" name="Picture 3" descr="space">
          <a:extLst>
            <a:ext uri="{FF2B5EF4-FFF2-40B4-BE49-F238E27FC236}">
              <a16:creationId xmlns:a16="http://schemas.microsoft.com/office/drawing/2014/main" id="{00000000-0008-0000-0300-00001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15" name="Picture 4" descr="space">
          <a:extLst>
            <a:ext uri="{FF2B5EF4-FFF2-40B4-BE49-F238E27FC236}">
              <a16:creationId xmlns:a16="http://schemas.microsoft.com/office/drawing/2014/main" id="{00000000-0008-0000-0300-00001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16" name="Picture 5" descr="space">
          <a:extLst>
            <a:ext uri="{FF2B5EF4-FFF2-40B4-BE49-F238E27FC236}">
              <a16:creationId xmlns:a16="http://schemas.microsoft.com/office/drawing/2014/main" id="{00000000-0008-0000-0300-00001C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17" name="Picture 6" descr="space">
          <a:extLst>
            <a:ext uri="{FF2B5EF4-FFF2-40B4-BE49-F238E27FC236}">
              <a16:creationId xmlns:a16="http://schemas.microsoft.com/office/drawing/2014/main" id="{00000000-0008-0000-0300-00001D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18" name="Picture 7" descr="space">
          <a:extLst>
            <a:ext uri="{FF2B5EF4-FFF2-40B4-BE49-F238E27FC236}">
              <a16:creationId xmlns:a16="http://schemas.microsoft.com/office/drawing/2014/main" id="{00000000-0008-0000-03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19" name="Picture 8" descr="space">
          <a:extLst>
            <a:ext uri="{FF2B5EF4-FFF2-40B4-BE49-F238E27FC236}">
              <a16:creationId xmlns:a16="http://schemas.microsoft.com/office/drawing/2014/main" id="{00000000-0008-0000-03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20" name="Picture 9" descr="space">
          <a:extLst>
            <a:ext uri="{FF2B5EF4-FFF2-40B4-BE49-F238E27FC236}">
              <a16:creationId xmlns:a16="http://schemas.microsoft.com/office/drawing/2014/main" id="{00000000-0008-0000-0300-000020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21" name="Picture 10" descr="space">
          <a:extLst>
            <a:ext uri="{FF2B5EF4-FFF2-40B4-BE49-F238E27FC236}">
              <a16:creationId xmlns:a16="http://schemas.microsoft.com/office/drawing/2014/main" id="{00000000-0008-0000-0300-00002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276225</xdr:colOff>
      <xdr:row>1</xdr:row>
      <xdr:rowOff>276225</xdr:rowOff>
    </xdr:to>
    <xdr:pic>
      <xdr:nvPicPr>
        <xdr:cNvPr id="12322" name="Picture 11" descr="space">
          <a:extLst>
            <a:ext uri="{FF2B5EF4-FFF2-40B4-BE49-F238E27FC236}">
              <a16:creationId xmlns:a16="http://schemas.microsoft.com/office/drawing/2014/main" id="{00000000-0008-0000-0300-00002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485775</xdr:rowOff>
    </xdr:to>
    <xdr:pic>
      <xdr:nvPicPr>
        <xdr:cNvPr id="12323" name="Picture 12" descr="space">
          <a:extLst>
            <a:ext uri="{FF2B5EF4-FFF2-40B4-BE49-F238E27FC236}">
              <a16:creationId xmlns:a16="http://schemas.microsoft.com/office/drawing/2014/main" id="{00000000-0008-0000-0300-000023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180975</xdr:rowOff>
    </xdr:to>
    <xdr:pic>
      <xdr:nvPicPr>
        <xdr:cNvPr id="12324" name="Picture 13" descr="space">
          <a:extLst>
            <a:ext uri="{FF2B5EF4-FFF2-40B4-BE49-F238E27FC236}">
              <a16:creationId xmlns:a16="http://schemas.microsoft.com/office/drawing/2014/main" id="{00000000-0008-0000-0300-000024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180975</xdr:rowOff>
    </xdr:to>
    <xdr:pic>
      <xdr:nvPicPr>
        <xdr:cNvPr id="12325" name="Picture 14" descr="space">
          <a:extLst>
            <a:ext uri="{FF2B5EF4-FFF2-40B4-BE49-F238E27FC236}">
              <a16:creationId xmlns:a16="http://schemas.microsoft.com/office/drawing/2014/main" id="{00000000-0008-0000-0300-000025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180975</xdr:rowOff>
    </xdr:to>
    <xdr:pic>
      <xdr:nvPicPr>
        <xdr:cNvPr id="12326" name="Picture 15" descr="space">
          <a:extLst>
            <a:ext uri="{FF2B5EF4-FFF2-40B4-BE49-F238E27FC236}">
              <a16:creationId xmlns:a16="http://schemas.microsoft.com/office/drawing/2014/main" id="{00000000-0008-0000-0300-000026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381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27" name="Picture 16" descr="space">
          <a:extLst>
            <a:ext uri="{FF2B5EF4-FFF2-40B4-BE49-F238E27FC236}">
              <a16:creationId xmlns:a16="http://schemas.microsoft.com/office/drawing/2014/main" id="{00000000-0008-0000-0300-000027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28" name="Picture 17" descr="space">
          <a:extLst>
            <a:ext uri="{FF2B5EF4-FFF2-40B4-BE49-F238E27FC236}">
              <a16:creationId xmlns:a16="http://schemas.microsoft.com/office/drawing/2014/main" id="{00000000-0008-0000-0300-000028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29" name="Picture 18" descr="space">
          <a:extLst>
            <a:ext uri="{FF2B5EF4-FFF2-40B4-BE49-F238E27FC236}">
              <a16:creationId xmlns:a16="http://schemas.microsoft.com/office/drawing/2014/main" id="{00000000-0008-0000-0300-000029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30" name="Picture 19" descr="space">
          <a:extLst>
            <a:ext uri="{FF2B5EF4-FFF2-40B4-BE49-F238E27FC236}">
              <a16:creationId xmlns:a16="http://schemas.microsoft.com/office/drawing/2014/main" id="{00000000-0008-0000-0300-00002A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31" name="Picture 20" descr="space">
          <a:extLst>
            <a:ext uri="{FF2B5EF4-FFF2-40B4-BE49-F238E27FC236}">
              <a16:creationId xmlns:a16="http://schemas.microsoft.com/office/drawing/2014/main" id="{00000000-0008-0000-0300-00002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32" name="Picture 21" descr="space">
          <a:extLst>
            <a:ext uri="{FF2B5EF4-FFF2-40B4-BE49-F238E27FC236}">
              <a16:creationId xmlns:a16="http://schemas.microsoft.com/office/drawing/2014/main" id="{00000000-0008-0000-0300-00002C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</xdr:colOff>
      <xdr:row>1</xdr:row>
      <xdr:rowOff>180975</xdr:rowOff>
    </xdr:to>
    <xdr:pic>
      <xdr:nvPicPr>
        <xdr:cNvPr id="12333" name="Picture 22" descr="space">
          <a:extLst>
            <a:ext uri="{FF2B5EF4-FFF2-40B4-BE49-F238E27FC236}">
              <a16:creationId xmlns:a16="http://schemas.microsoft.com/office/drawing/2014/main" id="{00000000-0008-0000-0300-00002D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276225</xdr:colOff>
      <xdr:row>1</xdr:row>
      <xdr:rowOff>276225</xdr:rowOff>
    </xdr:to>
    <xdr:pic>
      <xdr:nvPicPr>
        <xdr:cNvPr id="12334" name="Picture 23" descr="space">
          <a:extLst>
            <a:ext uri="{FF2B5EF4-FFF2-40B4-BE49-F238E27FC236}">
              <a16:creationId xmlns:a16="http://schemas.microsoft.com/office/drawing/2014/main" id="{00000000-0008-0000-0300-00002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485775</xdr:rowOff>
    </xdr:to>
    <xdr:pic>
      <xdr:nvPicPr>
        <xdr:cNvPr id="12335" name="Picture 24" descr="space">
          <a:extLst>
            <a:ext uri="{FF2B5EF4-FFF2-40B4-BE49-F238E27FC236}">
              <a16:creationId xmlns:a16="http://schemas.microsoft.com/office/drawing/2014/main" id="{00000000-0008-0000-0300-00002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083@dlf.org?subject=Tjek%20din%20l&#248;nsedde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M16"/>
  <sheetViews>
    <sheetView showGridLines="0" showRowColHeaders="0" showZeros="0" showOutlineSymbols="0" workbookViewId="0">
      <selection activeCell="C4" sqref="C4:K4"/>
    </sheetView>
  </sheetViews>
  <sheetFormatPr defaultRowHeight="12.75"/>
  <cols>
    <col min="1" max="1" width="6.42578125" customWidth="1"/>
    <col min="2" max="2" width="7.140625" customWidth="1"/>
    <col min="3" max="3" width="17.5703125" customWidth="1"/>
    <col min="4" max="6" width="8.5703125" customWidth="1"/>
    <col min="11" max="11" width="11.85546875" customWidth="1"/>
    <col min="12" max="12" width="7.140625" customWidth="1"/>
  </cols>
  <sheetData>
    <row r="1" spans="2:13" ht="27" customHeight="1" thickBot="1"/>
    <row r="2" spans="2:13" ht="26.25" customHeight="1" thickTop="1">
      <c r="B2" s="48"/>
      <c r="C2" s="95"/>
      <c r="D2" s="95"/>
      <c r="E2" s="95"/>
      <c r="F2" s="95"/>
      <c r="G2" s="95"/>
      <c r="H2" s="95"/>
      <c r="I2" s="95"/>
      <c r="J2" s="95"/>
      <c r="K2" s="95"/>
      <c r="L2" s="47"/>
    </row>
    <row r="3" spans="2:13" ht="27" customHeight="1">
      <c r="B3" s="49"/>
      <c r="C3" s="245" t="s">
        <v>49</v>
      </c>
      <c r="D3" s="246"/>
      <c r="E3" s="246"/>
      <c r="F3" s="246"/>
      <c r="G3" s="246"/>
      <c r="H3" s="246"/>
      <c r="I3" s="246"/>
      <c r="J3" s="246"/>
      <c r="K3" s="247"/>
      <c r="L3" s="42"/>
      <c r="M3" s="45"/>
    </row>
    <row r="4" spans="2:13" ht="27" customHeight="1">
      <c r="B4" s="49"/>
      <c r="C4" s="242" t="s">
        <v>120</v>
      </c>
      <c r="D4" s="243"/>
      <c r="E4" s="243"/>
      <c r="F4" s="243"/>
      <c r="G4" s="243"/>
      <c r="H4" s="243"/>
      <c r="I4" s="243"/>
      <c r="J4" s="243"/>
      <c r="K4" s="244"/>
      <c r="L4" s="46"/>
    </row>
    <row r="5" spans="2:13" ht="103.5" customHeight="1">
      <c r="B5" s="49"/>
      <c r="C5" s="239" t="s">
        <v>14</v>
      </c>
      <c r="D5" s="240"/>
      <c r="E5" s="240"/>
      <c r="F5" s="240"/>
      <c r="G5" s="240"/>
      <c r="H5" s="240"/>
      <c r="I5" s="240"/>
      <c r="J5" s="240"/>
      <c r="K5" s="241"/>
      <c r="L5" s="46"/>
      <c r="M5" s="45"/>
    </row>
    <row r="6" spans="2:13" ht="15.75" customHeight="1">
      <c r="B6" s="49"/>
      <c r="C6" s="52"/>
      <c r="D6" s="43"/>
      <c r="E6" s="44"/>
      <c r="F6" s="44"/>
      <c r="G6" s="53"/>
      <c r="H6" s="53"/>
      <c r="I6" s="53"/>
      <c r="J6" s="53"/>
      <c r="K6" s="54"/>
      <c r="L6" s="42"/>
      <c r="M6" s="45"/>
    </row>
    <row r="7" spans="2:13" ht="21.75" customHeight="1">
      <c r="B7" s="49"/>
      <c r="C7" s="248" t="s">
        <v>68</v>
      </c>
      <c r="D7" s="249"/>
      <c r="E7" s="249"/>
      <c r="F7" s="249"/>
      <c r="G7" s="249"/>
      <c r="H7" s="249"/>
      <c r="I7" s="249"/>
      <c r="J7" s="249"/>
      <c r="K7" s="250"/>
      <c r="L7" s="42"/>
      <c r="M7" s="45"/>
    </row>
    <row r="8" spans="2:13" ht="16.5" customHeight="1">
      <c r="B8" s="49"/>
      <c r="C8" s="52"/>
      <c r="D8" s="43"/>
      <c r="E8" s="44"/>
      <c r="F8" s="44"/>
      <c r="G8" s="53"/>
      <c r="H8" s="53"/>
      <c r="I8" s="53"/>
      <c r="J8" s="53"/>
      <c r="K8" s="54"/>
      <c r="L8" s="42"/>
      <c r="M8" s="45"/>
    </row>
    <row r="9" spans="2:13" ht="30" customHeight="1">
      <c r="B9" s="49"/>
      <c r="C9" s="55"/>
      <c r="D9" s="251" t="s">
        <v>15</v>
      </c>
      <c r="E9" s="251"/>
      <c r="F9" s="251"/>
      <c r="G9" s="251"/>
      <c r="H9" s="56"/>
      <c r="I9" s="56"/>
      <c r="J9" s="56"/>
      <c r="K9" s="57"/>
      <c r="L9" s="42"/>
      <c r="M9" s="45"/>
    </row>
    <row r="10" spans="2:13" ht="23.25" customHeight="1" thickBot="1">
      <c r="B10" s="49"/>
      <c r="C10" s="42"/>
      <c r="D10" s="42"/>
      <c r="E10" s="42"/>
      <c r="F10" s="42"/>
      <c r="G10" s="42"/>
      <c r="H10" s="42"/>
      <c r="I10" s="51"/>
      <c r="J10" s="42"/>
      <c r="K10" s="42"/>
      <c r="L10" s="51"/>
      <c r="M10" s="45"/>
    </row>
    <row r="11" spans="2:13" ht="14.25" thickTop="1" thickBot="1">
      <c r="B11" s="50"/>
      <c r="C11" s="50"/>
      <c r="D11" s="50"/>
      <c r="E11" s="50"/>
      <c r="F11" s="50"/>
      <c r="G11" s="50"/>
      <c r="H11" s="50"/>
      <c r="J11" s="50"/>
      <c r="K11" s="50"/>
    </row>
    <row r="12" spans="2:13" ht="16.5" thickTop="1">
      <c r="B12" s="115"/>
      <c r="C12" s="238" t="s">
        <v>30</v>
      </c>
      <c r="D12" s="238"/>
      <c r="E12" s="116"/>
      <c r="F12" s="116"/>
      <c r="G12" s="116"/>
      <c r="H12" s="116"/>
      <c r="I12" s="116"/>
      <c r="J12" s="116"/>
      <c r="K12" s="116"/>
      <c r="L12" s="117"/>
    </row>
    <row r="13" spans="2:13" ht="15">
      <c r="B13" s="118"/>
      <c r="C13" s="237" t="s">
        <v>31</v>
      </c>
      <c r="D13" s="237"/>
      <c r="E13" s="119"/>
      <c r="F13" s="120" t="s">
        <v>34</v>
      </c>
      <c r="G13" s="121" t="s">
        <v>35</v>
      </c>
      <c r="H13" s="119"/>
      <c r="I13" s="120" t="s">
        <v>36</v>
      </c>
      <c r="J13" s="237" t="s">
        <v>37</v>
      </c>
      <c r="K13" s="237"/>
      <c r="L13" s="122"/>
    </row>
    <row r="14" spans="2:13" ht="15">
      <c r="B14" s="118"/>
      <c r="C14" s="237" t="s">
        <v>32</v>
      </c>
      <c r="D14" s="237"/>
      <c r="E14" s="119"/>
      <c r="F14" s="123"/>
      <c r="G14" s="119"/>
      <c r="H14" s="119"/>
      <c r="I14" s="119"/>
      <c r="J14" s="124" t="s">
        <v>53</v>
      </c>
      <c r="K14" s="124"/>
      <c r="L14" s="122"/>
    </row>
    <row r="15" spans="2:13" ht="17.25" customHeight="1" thickBot="1">
      <c r="B15" s="125"/>
      <c r="C15" s="236" t="s">
        <v>33</v>
      </c>
      <c r="D15" s="236"/>
      <c r="E15" s="126"/>
      <c r="F15" s="126"/>
      <c r="G15" s="127"/>
      <c r="H15" s="126"/>
      <c r="I15" s="126"/>
      <c r="J15" s="126"/>
      <c r="K15" s="126"/>
      <c r="L15" s="128"/>
    </row>
    <row r="16" spans="2:13" ht="13.5" thickTop="1"/>
  </sheetData>
  <mergeCells count="10">
    <mergeCell ref="C5:K5"/>
    <mergeCell ref="C4:K4"/>
    <mergeCell ref="C3:K3"/>
    <mergeCell ref="C7:K7"/>
    <mergeCell ref="D9:G9"/>
    <mergeCell ref="C15:D15"/>
    <mergeCell ref="J13:K13"/>
    <mergeCell ref="C12:D12"/>
    <mergeCell ref="C13:D13"/>
    <mergeCell ref="C14:D14"/>
  </mergeCells>
  <phoneticPr fontId="23" type="noConversion"/>
  <hyperlinks>
    <hyperlink ref="G13" r:id="rId1" xr:uid="{00000000-0004-0000-0000-000000000000}"/>
  </hyperlinks>
  <pageMargins left="0.39370078740157483" right="0.39370078740157483" top="0.98425196850393704" bottom="0.98425196850393704" header="0.51181102362204722" footer="0.6"/>
  <pageSetup paperSize="9" orientation="landscape" r:id="rId2"/>
  <headerFooter alignWithMargins="0">
    <oddFooter>&amp;CUdarbejdet af Peter Ollendorff 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indexed="10"/>
    <pageSetUpPr autoPageBreaks="0"/>
  </sheetPr>
  <dimension ref="A1:Q56"/>
  <sheetViews>
    <sheetView showZeros="0" tabSelected="1" showOutlineSymbols="0" zoomScaleNormal="100" workbookViewId="0">
      <selection activeCell="N6" sqref="N6"/>
    </sheetView>
  </sheetViews>
  <sheetFormatPr defaultColWidth="9.140625" defaultRowHeight="15"/>
  <cols>
    <col min="1" max="1" width="5.5703125" style="5" customWidth="1"/>
    <col min="2" max="2" width="9.85546875" style="2" customWidth="1"/>
    <col min="3" max="3" width="8.42578125" style="2" customWidth="1"/>
    <col min="4" max="4" width="5.140625" style="2" customWidth="1"/>
    <col min="5" max="5" width="8" style="2" customWidth="1"/>
    <col min="6" max="6" width="9" style="2" customWidth="1"/>
    <col min="7" max="7" width="7.140625" style="2" customWidth="1"/>
    <col min="8" max="8" width="10.42578125" style="2" customWidth="1"/>
    <col min="9" max="9" width="9.42578125" style="2" customWidth="1"/>
    <col min="10" max="10" width="11.5703125" style="3" customWidth="1"/>
    <col min="11" max="11" width="10.85546875" style="3" customWidth="1"/>
    <col min="12" max="12" width="11" style="2" bestFit="1" customWidth="1"/>
    <col min="13" max="13" width="13.5703125" style="2" bestFit="1" customWidth="1"/>
    <col min="14" max="14" width="12.5703125" style="2" bestFit="1" customWidth="1"/>
    <col min="15" max="15" width="11.42578125" style="2" bestFit="1" customWidth="1"/>
    <col min="16" max="16" width="10.42578125" style="2" bestFit="1" customWidth="1"/>
    <col min="17" max="17" width="11.42578125" style="2" bestFit="1" customWidth="1"/>
    <col min="18" max="16384" width="9.140625" style="2"/>
  </cols>
  <sheetData>
    <row r="1" spans="1:14" s="1" customFormat="1" ht="45.75" customHeight="1">
      <c r="A1" s="263" t="s">
        <v>121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  <c r="L1" s="2"/>
    </row>
    <row r="2" spans="1:14" s="1" customFormat="1" ht="24.75" customHeight="1">
      <c r="A2" s="266" t="s">
        <v>78</v>
      </c>
      <c r="B2" s="267"/>
      <c r="C2" s="267"/>
      <c r="D2" s="267"/>
      <c r="E2" s="267"/>
      <c r="F2" s="267"/>
      <c r="G2" s="267"/>
      <c r="H2" s="267"/>
      <c r="I2" s="267"/>
      <c r="J2" s="267"/>
      <c r="K2" s="268"/>
      <c r="L2" s="2"/>
    </row>
    <row r="3" spans="1:14" ht="16.5" customHeight="1">
      <c r="A3" s="269" t="s">
        <v>11</v>
      </c>
      <c r="B3" s="270"/>
      <c r="C3" s="270"/>
      <c r="D3" s="270"/>
      <c r="E3" s="270"/>
      <c r="F3" s="271"/>
      <c r="G3" s="91">
        <v>100</v>
      </c>
      <c r="H3" s="274" t="s">
        <v>0</v>
      </c>
      <c r="I3" s="275"/>
      <c r="J3" s="275"/>
      <c r="K3" s="276"/>
      <c r="L3" s="73"/>
      <c r="M3"/>
      <c r="N3" s="73"/>
    </row>
    <row r="4" spans="1:14" ht="16.5" customHeight="1">
      <c r="A4" s="130" t="s">
        <v>79</v>
      </c>
      <c r="B4" s="129"/>
      <c r="C4" s="129"/>
      <c r="D4" s="129" t="s">
        <v>80</v>
      </c>
      <c r="E4" s="129"/>
      <c r="F4" s="129"/>
      <c r="G4" s="131"/>
      <c r="H4" s="132"/>
      <c r="I4" s="132"/>
      <c r="J4" s="132"/>
      <c r="K4" s="133"/>
    </row>
    <row r="5" spans="1:14" ht="16.5" customHeight="1">
      <c r="A5" s="135" t="s">
        <v>83</v>
      </c>
      <c r="B5" s="134"/>
      <c r="C5" s="134"/>
      <c r="D5" s="272" t="s">
        <v>84</v>
      </c>
      <c r="E5" s="272"/>
      <c r="F5" s="272"/>
      <c r="G5" s="134" t="s">
        <v>85</v>
      </c>
      <c r="H5" s="134"/>
      <c r="I5" s="134"/>
      <c r="J5" s="272" t="s">
        <v>86</v>
      </c>
      <c r="K5" s="273"/>
    </row>
    <row r="6" spans="1:14">
      <c r="A6" s="74" t="s">
        <v>87</v>
      </c>
      <c r="B6" s="75"/>
      <c r="C6" s="75"/>
      <c r="D6" s="75"/>
      <c r="E6" s="75"/>
      <c r="F6" s="76"/>
      <c r="G6" s="77"/>
      <c r="H6" s="78"/>
      <c r="I6" s="27"/>
      <c r="J6" s="38" t="s">
        <v>1</v>
      </c>
      <c r="K6" s="38" t="s">
        <v>2</v>
      </c>
    </row>
    <row r="7" spans="1:14">
      <c r="A7" s="28">
        <v>1</v>
      </c>
      <c r="B7" s="253" t="s">
        <v>18</v>
      </c>
      <c r="C7" s="254"/>
      <c r="D7" s="254"/>
      <c r="E7" s="255"/>
      <c r="F7" s="256" t="s">
        <v>81</v>
      </c>
      <c r="G7" s="257"/>
      <c r="H7" s="258"/>
      <c r="I7" s="21">
        <v>4</v>
      </c>
      <c r="J7" s="104">
        <f>(IF(I7=1,'Ark3'!I10,IF(I7=2,'Ark3'!I14,IF(I7=3,'Ark3'!B19,IF(I7=4,'Ark3'!I19,IF(I7=0,0,"det kan vist ikke passe"))))))*G3/100</f>
        <v>462262.59</v>
      </c>
      <c r="K7" s="22">
        <f>J7/12</f>
        <v>38521.8825</v>
      </c>
    </row>
    <row r="8" spans="1:14">
      <c r="A8" s="102"/>
      <c r="B8" s="252" t="s">
        <v>22</v>
      </c>
      <c r="C8" s="252"/>
      <c r="D8" s="252"/>
      <c r="E8" s="252"/>
      <c r="F8" s="18"/>
      <c r="G8" s="61"/>
      <c r="H8" s="23"/>
      <c r="I8" s="103"/>
      <c r="J8" s="105">
        <f>(IF(I7&gt;0,('Ark2'!C13*G3/100),0))</f>
        <v>22933.58165</v>
      </c>
      <c r="K8" s="19">
        <f>J8/12</f>
        <v>1911.1318041666666</v>
      </c>
      <c r="L8" s="228"/>
    </row>
    <row r="9" spans="1:14">
      <c r="A9" s="20"/>
      <c r="B9" s="93" t="s">
        <v>64</v>
      </c>
      <c r="C9" s="93"/>
      <c r="D9" s="93"/>
      <c r="E9" s="93"/>
      <c r="F9" s="18"/>
      <c r="G9" s="61"/>
      <c r="H9" s="23"/>
      <c r="I9" s="106"/>
      <c r="J9" s="105">
        <f>(IF(I7&gt;0,('Ark2'!C16*G3/100),0))</f>
        <v>22214.410100000001</v>
      </c>
      <c r="K9" s="19">
        <f>J9/12</f>
        <v>1851.2008416666667</v>
      </c>
    </row>
    <row r="10" spans="1:14">
      <c r="A10" s="20"/>
      <c r="B10" s="93" t="s">
        <v>65</v>
      </c>
      <c r="C10" s="93"/>
      <c r="D10" s="93"/>
      <c r="E10" s="93"/>
      <c r="F10" s="18"/>
      <c r="I10" s="110"/>
      <c r="J10" s="2"/>
      <c r="K10" s="108"/>
    </row>
    <row r="11" spans="1:14">
      <c r="A11" s="20"/>
      <c r="B11" s="93"/>
      <c r="C11" s="93"/>
      <c r="D11" s="93"/>
      <c r="E11" s="93"/>
      <c r="F11" s="18"/>
      <c r="G11" s="24" t="s">
        <v>63</v>
      </c>
      <c r="I11" s="111">
        <f>(IF(I10&gt;(760*G3/100),(I10-(760*G3/100)),0))</f>
        <v>0</v>
      </c>
      <c r="J11" s="105">
        <f>I11*'Ark2'!C33</f>
        <v>0</v>
      </c>
      <c r="K11" s="19">
        <f t="shared" ref="K11:K19" si="0">J11/12</f>
        <v>0</v>
      </c>
    </row>
    <row r="12" spans="1:14">
      <c r="A12" s="28">
        <v>2</v>
      </c>
      <c r="B12" s="259" t="s">
        <v>19</v>
      </c>
      <c r="C12" s="260"/>
      <c r="D12" s="260"/>
      <c r="E12" s="261"/>
      <c r="F12" s="256" t="s">
        <v>81</v>
      </c>
      <c r="G12" s="257"/>
      <c r="H12" s="258"/>
      <c r="I12" s="21"/>
      <c r="J12" s="104">
        <f>(IF(I12=4,'Ark3'!I22))*G3/100</f>
        <v>0</v>
      </c>
      <c r="K12" s="22">
        <f t="shared" si="0"/>
        <v>0</v>
      </c>
    </row>
    <row r="13" spans="1:14">
      <c r="A13" s="20"/>
      <c r="B13" s="252" t="s">
        <v>22</v>
      </c>
      <c r="C13" s="252"/>
      <c r="D13" s="252"/>
      <c r="E13" s="252"/>
      <c r="F13" s="18"/>
      <c r="G13" s="101"/>
      <c r="H13" s="23"/>
      <c r="I13" s="103">
        <f>(IF(G13&gt;(750*G3/100),(451*G3/100),IF(G13&gt;(299*G3/100),G13-(299*G3/100),IF(G13&lt;(300*G3/100),0))))</f>
        <v>0</v>
      </c>
      <c r="J13" s="105">
        <f>(IF(I12&gt;0,('Ark2'!C13*G3/100),0))</f>
        <v>0</v>
      </c>
      <c r="K13" s="19">
        <f t="shared" si="0"/>
        <v>0</v>
      </c>
    </row>
    <row r="14" spans="1:14">
      <c r="A14" s="20"/>
      <c r="B14" s="93" t="s">
        <v>64</v>
      </c>
      <c r="C14" s="93"/>
      <c r="D14" s="93"/>
      <c r="E14" s="93"/>
      <c r="F14" s="18"/>
      <c r="G14" s="101"/>
      <c r="H14" s="23"/>
      <c r="I14" s="80"/>
      <c r="J14" s="105">
        <f>(IF(I12&gt;0,('Ark2'!C19*G3/100),0))</f>
        <v>0</v>
      </c>
      <c r="K14" s="19">
        <f t="shared" si="0"/>
        <v>0</v>
      </c>
    </row>
    <row r="15" spans="1:14">
      <c r="A15" s="20"/>
      <c r="B15" s="93" t="s">
        <v>65</v>
      </c>
      <c r="C15" s="93"/>
      <c r="D15" s="93"/>
      <c r="E15" s="93"/>
      <c r="F15" s="18"/>
      <c r="H15" s="23"/>
      <c r="I15" s="109"/>
      <c r="J15" s="105"/>
      <c r="K15" s="19">
        <f t="shared" si="0"/>
        <v>0</v>
      </c>
    </row>
    <row r="16" spans="1:14">
      <c r="A16" s="20"/>
      <c r="B16" s="93"/>
      <c r="C16" s="93"/>
      <c r="D16" s="93"/>
      <c r="E16" s="93"/>
      <c r="F16" s="18"/>
      <c r="G16" s="24" t="s">
        <v>63</v>
      </c>
      <c r="H16" s="23"/>
      <c r="I16" s="111">
        <f>(IF(I15&gt;(760*G3/100),(I15-(760*G3/100)),0))</f>
        <v>0</v>
      </c>
      <c r="J16" s="105">
        <f>I16*'Ark2'!C33</f>
        <v>0</v>
      </c>
      <c r="K16" s="19">
        <f t="shared" si="0"/>
        <v>0</v>
      </c>
    </row>
    <row r="17" spans="1:13">
      <c r="A17" s="28">
        <v>3</v>
      </c>
      <c r="B17" s="253" t="s">
        <v>20</v>
      </c>
      <c r="C17" s="254"/>
      <c r="D17" s="254"/>
      <c r="E17" s="255"/>
      <c r="F17" s="256" t="s">
        <v>81</v>
      </c>
      <c r="G17" s="257"/>
      <c r="H17" s="258"/>
      <c r="I17" s="21"/>
      <c r="J17" s="22">
        <f>(IF(I17=1,'Ark3'!F7,IF(I17=2,'Ark3'!F10,IF(I17=3,'Ark3'!F12,IF(I17=4,'Ark3'!F16,IF(I17=0,0,"det kan vist ikke passe"))))))*G3/100</f>
        <v>0</v>
      </c>
      <c r="K17" s="22">
        <f t="shared" si="0"/>
        <v>0</v>
      </c>
    </row>
    <row r="18" spans="1:13">
      <c r="A18" s="20"/>
      <c r="B18" s="262" t="s">
        <v>22</v>
      </c>
      <c r="C18" s="262"/>
      <c r="D18" s="262"/>
      <c r="E18" s="262"/>
      <c r="F18" s="18"/>
      <c r="G18" s="61"/>
      <c r="H18" s="23"/>
      <c r="I18" s="80">
        <f>IF(G18&gt;750*G3/100,451*G3/100,IF(G18&gt;299*G3/100,G18-299*G3/100,IF(G18&lt;300*G3/100,0)))</f>
        <v>0</v>
      </c>
      <c r="J18" s="19">
        <f>(IF(I17&gt;0,('Ark2'!C13*G3/100),0))</f>
        <v>0</v>
      </c>
      <c r="K18" s="19">
        <f t="shared" si="0"/>
        <v>0</v>
      </c>
    </row>
    <row r="19" spans="1:13">
      <c r="A19" s="20"/>
      <c r="B19" s="93" t="s">
        <v>95</v>
      </c>
      <c r="C19" s="93"/>
      <c r="D19" s="93"/>
      <c r="E19" s="93"/>
      <c r="F19" s="18"/>
      <c r="G19" s="61"/>
      <c r="H19" s="23"/>
      <c r="I19" s="80"/>
      <c r="J19" s="19">
        <f>(IF(I17&gt;0,('Ark2'!C20*G3/100),0))</f>
        <v>0</v>
      </c>
      <c r="K19" s="19">
        <f t="shared" si="0"/>
        <v>0</v>
      </c>
    </row>
    <row r="20" spans="1:13">
      <c r="A20" s="20"/>
      <c r="B20" s="93" t="s">
        <v>96</v>
      </c>
      <c r="C20" s="93"/>
      <c r="D20" s="93"/>
      <c r="E20" s="93"/>
      <c r="F20" s="18"/>
      <c r="G20" s="61"/>
      <c r="H20" s="23"/>
      <c r="I20" s="109"/>
      <c r="J20" s="19"/>
      <c r="K20" s="19"/>
    </row>
    <row r="21" spans="1:13">
      <c r="A21" s="20"/>
      <c r="C21" s="93"/>
      <c r="D21" s="93"/>
      <c r="G21" s="93" t="s">
        <v>62</v>
      </c>
      <c r="H21" s="23"/>
      <c r="I21" s="111">
        <f>IF(I20&gt;(835*G3/100),(I20-(835*G3/100)),0)</f>
        <v>0</v>
      </c>
      <c r="J21" s="112">
        <f>I21*'Ark2'!C34</f>
        <v>0</v>
      </c>
      <c r="K21" s="19">
        <f>J21/12</f>
        <v>0</v>
      </c>
    </row>
    <row r="22" spans="1:13">
      <c r="A22" s="28">
        <v>4</v>
      </c>
      <c r="B22" s="278" t="s">
        <v>21</v>
      </c>
      <c r="C22" s="279"/>
      <c r="D22" s="279"/>
      <c r="E22" s="280"/>
      <c r="F22" s="256" t="s">
        <v>81</v>
      </c>
      <c r="G22" s="257"/>
      <c r="H22" s="258"/>
      <c r="I22" s="21">
        <v>0</v>
      </c>
      <c r="J22" s="22">
        <f>(IF(I22=4,'Ark3'!F15))*G3/100</f>
        <v>0</v>
      </c>
      <c r="K22" s="79">
        <f>J22/12</f>
        <v>0</v>
      </c>
    </row>
    <row r="23" spans="1:13">
      <c r="A23" s="102"/>
      <c r="B23" s="252" t="s">
        <v>22</v>
      </c>
      <c r="C23" s="252"/>
      <c r="D23" s="252"/>
      <c r="E23" s="252"/>
      <c r="F23" s="18"/>
      <c r="G23" s="61"/>
      <c r="H23" s="23"/>
      <c r="I23" s="80"/>
      <c r="J23" s="19">
        <f>(IF(I22&gt;0,('Ark2'!C13*G3/100),0))</f>
        <v>0</v>
      </c>
      <c r="K23" s="113">
        <f>J23/12</f>
        <v>0</v>
      </c>
      <c r="M23" s="26"/>
    </row>
    <row r="24" spans="1:13">
      <c r="A24" s="20"/>
      <c r="B24" s="93" t="s">
        <v>95</v>
      </c>
      <c r="C24" s="93"/>
      <c r="D24" s="93"/>
      <c r="E24" s="93"/>
      <c r="F24" s="18"/>
      <c r="G24" s="61"/>
      <c r="H24" s="23"/>
      <c r="I24" s="80"/>
      <c r="J24" s="19">
        <f>(IF(I22&gt;0,('Ark2'!C21*G3/100),0))</f>
        <v>0</v>
      </c>
      <c r="K24" s="113">
        <f>J24/12</f>
        <v>0</v>
      </c>
    </row>
    <row r="25" spans="1:13">
      <c r="A25" s="20"/>
      <c r="B25" s="93" t="s">
        <v>96</v>
      </c>
      <c r="C25" s="93"/>
      <c r="D25" s="93"/>
      <c r="E25" s="93"/>
      <c r="F25" s="18"/>
      <c r="G25" s="61"/>
      <c r="H25" s="23"/>
      <c r="I25" s="109"/>
      <c r="J25" s="108"/>
      <c r="K25" s="113"/>
    </row>
    <row r="26" spans="1:13">
      <c r="A26" s="20"/>
      <c r="B26" s="93"/>
      <c r="C26" s="93"/>
      <c r="D26" s="93"/>
      <c r="E26" s="93"/>
      <c r="G26" s="93" t="s">
        <v>62</v>
      </c>
      <c r="H26" s="23"/>
      <c r="I26" s="192">
        <f>IF(I25&gt;(835*G3/100),(I25-(835*G3/100)),0)</f>
        <v>0</v>
      </c>
      <c r="J26" s="112">
        <f>I26*'Ark2'!C34</f>
        <v>0</v>
      </c>
      <c r="K26" s="19">
        <f>J26/12</f>
        <v>0</v>
      </c>
    </row>
    <row r="27" spans="1:13">
      <c r="A27" s="191">
        <v>5</v>
      </c>
      <c r="B27" s="284" t="s">
        <v>102</v>
      </c>
      <c r="C27" s="284"/>
      <c r="D27" s="284"/>
      <c r="E27" s="285"/>
      <c r="F27" s="256" t="s">
        <v>81</v>
      </c>
      <c r="G27" s="257"/>
      <c r="H27" s="257"/>
      <c r="I27" s="206"/>
      <c r="J27" s="194">
        <f>(IF(I27=1,'Ark3'!G24,IF(I27=2,'Ark3'!G25)))*G3/100</f>
        <v>0</v>
      </c>
      <c r="K27" s="22">
        <f>J27/12</f>
        <v>0</v>
      </c>
    </row>
    <row r="28" spans="1:13">
      <c r="A28" s="195"/>
      <c r="B28" s="134"/>
      <c r="C28" s="134"/>
      <c r="D28" s="134"/>
      <c r="E28" s="134"/>
      <c r="F28" s="199"/>
      <c r="G28" s="134"/>
      <c r="H28" s="196"/>
      <c r="I28" s="197"/>
      <c r="J28" s="198"/>
      <c r="K28" s="186"/>
    </row>
    <row r="29" spans="1:13">
      <c r="A29" s="193">
        <v>6</v>
      </c>
      <c r="B29" s="286" t="s">
        <v>103</v>
      </c>
      <c r="C29" s="286"/>
      <c r="D29" s="286"/>
      <c r="E29" s="287"/>
      <c r="F29" s="256" t="s">
        <v>81</v>
      </c>
      <c r="G29" s="257"/>
      <c r="H29" s="257"/>
      <c r="I29" s="206"/>
      <c r="J29" s="190">
        <f>(IF(I29=1,'Ark3'!N23,IF(I29=2,'Ark3'!N24)))*G3/100</f>
        <v>0</v>
      </c>
      <c r="K29" s="19">
        <f>J29/12</f>
        <v>0</v>
      </c>
    </row>
    <row r="30" spans="1:13">
      <c r="A30" s="20"/>
      <c r="B30" s="288" t="s">
        <v>107</v>
      </c>
      <c r="C30" s="288"/>
      <c r="D30" s="93"/>
      <c r="E30" s="93"/>
      <c r="F30" s="24"/>
      <c r="G30" s="289" t="s">
        <v>108</v>
      </c>
      <c r="H30" s="289"/>
      <c r="I30" s="206"/>
      <c r="J30" s="113">
        <f>(IF(I30=1,'Ark2'!C36))*G3/100</f>
        <v>0</v>
      </c>
      <c r="K30" s="19">
        <f>J30/12</f>
        <v>0</v>
      </c>
    </row>
    <row r="31" spans="1:13" ht="36">
      <c r="A31" s="281" t="s">
        <v>10</v>
      </c>
      <c r="B31" s="282"/>
      <c r="C31" s="282"/>
      <c r="D31" s="282"/>
      <c r="E31" s="282"/>
      <c r="F31" s="282"/>
      <c r="G31" s="283"/>
      <c r="H31" s="89" t="s">
        <v>38</v>
      </c>
      <c r="I31" s="27" t="s">
        <v>3</v>
      </c>
      <c r="J31" s="107" t="s">
        <v>1</v>
      </c>
      <c r="K31" s="38" t="s">
        <v>2</v>
      </c>
    </row>
    <row r="32" spans="1:13">
      <c r="A32" s="85"/>
      <c r="B32" s="87" t="s">
        <v>54</v>
      </c>
      <c r="C32" s="86"/>
      <c r="D32" s="86"/>
      <c r="E32" s="86"/>
      <c r="F32" s="86"/>
      <c r="G32" s="86"/>
      <c r="H32" s="88"/>
      <c r="I32" s="90">
        <f t="shared" ref="I32:I40" si="1">J32</f>
        <v>0</v>
      </c>
      <c r="J32" s="184">
        <f>H32*'Ark2'!C26</f>
        <v>0</v>
      </c>
      <c r="K32" s="184">
        <f t="shared" ref="K32:K38" si="2">J32/12</f>
        <v>0</v>
      </c>
    </row>
    <row r="33" spans="1:17">
      <c r="A33" s="85"/>
      <c r="B33" s="87" t="s">
        <v>40</v>
      </c>
      <c r="C33" s="86"/>
      <c r="D33" s="86"/>
      <c r="E33" s="86"/>
      <c r="F33" s="86"/>
      <c r="G33" s="86"/>
      <c r="H33" s="88"/>
      <c r="I33" s="90">
        <f t="shared" si="1"/>
        <v>0</v>
      </c>
      <c r="J33" s="97">
        <f>H33*'Ark2'!C27</f>
        <v>0</v>
      </c>
      <c r="K33" s="97">
        <f t="shared" si="2"/>
        <v>0</v>
      </c>
    </row>
    <row r="34" spans="1:17">
      <c r="A34" s="85"/>
      <c r="B34" s="87" t="s">
        <v>41</v>
      </c>
      <c r="C34" s="86"/>
      <c r="D34" s="86"/>
      <c r="E34" s="86"/>
      <c r="F34" s="86"/>
      <c r="G34" s="86"/>
      <c r="H34" s="88"/>
      <c r="I34" s="90">
        <f t="shared" si="1"/>
        <v>0</v>
      </c>
      <c r="J34" s="97">
        <f>H34*'Ark2'!C28</f>
        <v>0</v>
      </c>
      <c r="K34" s="97">
        <f t="shared" si="2"/>
        <v>0</v>
      </c>
    </row>
    <row r="35" spans="1:17">
      <c r="A35" s="85"/>
      <c r="B35" s="87" t="s">
        <v>47</v>
      </c>
      <c r="C35" s="86"/>
      <c r="D35" s="86"/>
      <c r="E35" s="86"/>
      <c r="F35" s="86"/>
      <c r="G35" s="86"/>
      <c r="H35" s="88"/>
      <c r="I35" s="90">
        <f t="shared" si="1"/>
        <v>0</v>
      </c>
      <c r="J35" s="97">
        <f>H35*'Ark2'!C22</f>
        <v>0</v>
      </c>
      <c r="K35" s="97">
        <f t="shared" si="2"/>
        <v>0</v>
      </c>
    </row>
    <row r="36" spans="1:17">
      <c r="A36" s="85"/>
      <c r="B36" s="87" t="s">
        <v>48</v>
      </c>
      <c r="C36" s="86"/>
      <c r="D36" s="86"/>
      <c r="E36" s="86"/>
      <c r="F36" s="86"/>
      <c r="G36" s="86"/>
      <c r="H36" s="88"/>
      <c r="I36" s="90">
        <f t="shared" si="1"/>
        <v>0</v>
      </c>
      <c r="J36" s="97">
        <f>H36*'Ark2'!C23</f>
        <v>0</v>
      </c>
      <c r="K36" s="97">
        <f t="shared" si="2"/>
        <v>0</v>
      </c>
    </row>
    <row r="37" spans="1:17">
      <c r="A37" s="85"/>
      <c r="B37" s="86" t="s">
        <v>118</v>
      </c>
      <c r="C37" s="86"/>
      <c r="D37" s="86"/>
      <c r="E37" s="86"/>
      <c r="F37" s="86"/>
      <c r="G37" s="86"/>
      <c r="H37" s="312">
        <v>1</v>
      </c>
      <c r="I37" s="313">
        <f t="shared" si="1"/>
        <v>7671.1632000000009</v>
      </c>
      <c r="J37" s="314">
        <f>H37*'Ark2'!C29</f>
        <v>7671.1632000000009</v>
      </c>
      <c r="K37" s="314">
        <f t="shared" si="2"/>
        <v>639.26360000000011</v>
      </c>
    </row>
    <row r="38" spans="1:17">
      <c r="A38" s="85"/>
      <c r="B38" s="87" t="s">
        <v>42</v>
      </c>
      <c r="C38" s="86"/>
      <c r="D38" s="86"/>
      <c r="E38" s="86"/>
      <c r="F38" s="86"/>
      <c r="G38" s="86"/>
      <c r="H38" s="88">
        <v>0</v>
      </c>
      <c r="I38" s="90">
        <f t="shared" si="1"/>
        <v>0</v>
      </c>
      <c r="J38" s="97">
        <f>H38*'Ark2'!C25</f>
        <v>0</v>
      </c>
      <c r="K38" s="97">
        <f t="shared" si="2"/>
        <v>0</v>
      </c>
    </row>
    <row r="39" spans="1:17">
      <c r="A39" s="85"/>
      <c r="B39" s="87" t="s">
        <v>55</v>
      </c>
      <c r="C39" s="86"/>
      <c r="D39" s="86"/>
      <c r="E39" s="86"/>
      <c r="F39" s="86"/>
      <c r="G39" s="86"/>
      <c r="H39" s="88"/>
      <c r="I39" s="90">
        <f>J39</f>
        <v>0</v>
      </c>
      <c r="J39" s="97">
        <f>H39*'Ark2'!C9</f>
        <v>0</v>
      </c>
      <c r="K39" s="97">
        <f>J39/12</f>
        <v>0</v>
      </c>
    </row>
    <row r="40" spans="1:17">
      <c r="A40" s="20"/>
      <c r="B40" s="277" t="s">
        <v>13</v>
      </c>
      <c r="C40" s="277"/>
      <c r="D40" s="277"/>
      <c r="E40" s="277"/>
      <c r="F40" s="277"/>
      <c r="G40" s="277"/>
      <c r="H40" s="91"/>
      <c r="I40" s="30">
        <f t="shared" si="1"/>
        <v>0</v>
      </c>
      <c r="J40" s="31">
        <f>H40*'Ark2'!C10</f>
        <v>0</v>
      </c>
      <c r="K40" s="31">
        <f>+J40/12</f>
        <v>0</v>
      </c>
      <c r="O40" s="228"/>
    </row>
    <row r="41" spans="1:17">
      <c r="A41" s="20"/>
      <c r="B41" s="262" t="s">
        <v>4</v>
      </c>
      <c r="C41" s="262"/>
      <c r="D41" s="262"/>
      <c r="E41" s="262"/>
      <c r="F41" s="262"/>
      <c r="G41" s="262"/>
      <c r="H41" s="25">
        <v>0</v>
      </c>
      <c r="I41" s="39">
        <v>86.47</v>
      </c>
      <c r="J41" s="31">
        <f>K41*12</f>
        <v>0</v>
      </c>
      <c r="K41" s="31">
        <f>H41*I41</f>
        <v>0</v>
      </c>
    </row>
    <row r="42" spans="1:17">
      <c r="A42" s="20"/>
      <c r="B42" s="277" t="s">
        <v>27</v>
      </c>
      <c r="C42" s="277"/>
      <c r="D42" s="277"/>
      <c r="E42" s="277"/>
      <c r="F42" s="302" t="s">
        <v>26</v>
      </c>
      <c r="G42" s="302"/>
      <c r="H42" s="303"/>
      <c r="I42" s="40"/>
      <c r="J42" s="19">
        <f>I42*G3/100</f>
        <v>0</v>
      </c>
      <c r="K42" s="19">
        <f t="shared" ref="K42:K47" si="3">J42/12</f>
        <v>0</v>
      </c>
    </row>
    <row r="43" spans="1:17">
      <c r="A43" s="20"/>
      <c r="B43" s="277" t="s">
        <v>29</v>
      </c>
      <c r="C43" s="277"/>
      <c r="D43" s="277"/>
      <c r="E43" s="277"/>
      <c r="F43" s="277"/>
      <c r="G43" s="294"/>
      <c r="H43" s="91"/>
      <c r="I43" s="81">
        <f>H43*'Ark2'!C11</f>
        <v>0</v>
      </c>
      <c r="J43" s="31">
        <f>I43*G3/100</f>
        <v>0</v>
      </c>
      <c r="K43" s="19">
        <f t="shared" si="3"/>
        <v>0</v>
      </c>
    </row>
    <row r="44" spans="1:17">
      <c r="A44" s="20"/>
      <c r="B44" s="272" t="s">
        <v>100</v>
      </c>
      <c r="C44" s="272"/>
      <c r="D44" s="272"/>
      <c r="E44" s="272"/>
      <c r="F44" s="272"/>
      <c r="G44" s="272"/>
      <c r="H44" s="91"/>
      <c r="I44" s="81">
        <f>H44*'Ark2'!C35</f>
        <v>0</v>
      </c>
      <c r="J44" s="185">
        <f>I44*G3/100</f>
        <v>0</v>
      </c>
      <c r="K44" s="186">
        <f t="shared" si="3"/>
        <v>0</v>
      </c>
    </row>
    <row r="45" spans="1:17">
      <c r="A45" s="146"/>
      <c r="B45" s="300" t="s">
        <v>89</v>
      </c>
      <c r="C45" s="300"/>
      <c r="D45" s="300"/>
      <c r="E45" s="300"/>
      <c r="F45" s="300"/>
      <c r="G45" s="300"/>
      <c r="H45" s="301"/>
      <c r="I45" s="148"/>
      <c r="J45" s="178">
        <f>I45*'Ark2'!C2*G3/100</f>
        <v>0</v>
      </c>
      <c r="K45" s="141">
        <f t="shared" si="3"/>
        <v>0</v>
      </c>
    </row>
    <row r="46" spans="1:17">
      <c r="A46" s="145"/>
      <c r="B46" s="290" t="s">
        <v>66</v>
      </c>
      <c r="C46" s="290"/>
      <c r="D46" s="290"/>
      <c r="E46" s="290"/>
      <c r="F46" s="290"/>
      <c r="G46" s="290"/>
      <c r="H46" s="291"/>
      <c r="I46" s="40"/>
      <c r="J46" s="141">
        <f>I46*'Ark2'!C4</f>
        <v>0</v>
      </c>
      <c r="K46" s="142">
        <f t="shared" si="3"/>
        <v>0</v>
      </c>
    </row>
    <row r="47" spans="1:17" ht="30.75" customHeight="1">
      <c r="A47" s="147"/>
      <c r="B47" s="292" t="s">
        <v>67</v>
      </c>
      <c r="C47" s="292"/>
      <c r="D47" s="292"/>
      <c r="E47" s="292"/>
      <c r="F47" s="292"/>
      <c r="G47" s="292"/>
      <c r="H47" s="293"/>
      <c r="I47" s="41"/>
      <c r="J47" s="143">
        <f>I47*'Ark2'!C5</f>
        <v>0</v>
      </c>
      <c r="K47" s="144">
        <f t="shared" si="3"/>
        <v>0</v>
      </c>
    </row>
    <row r="48" spans="1:17">
      <c r="A48" s="299" t="s">
        <v>9</v>
      </c>
      <c r="B48" s="254"/>
      <c r="C48" s="254"/>
      <c r="D48" s="254"/>
      <c r="E48" s="254"/>
      <c r="F48" s="254"/>
      <c r="G48" s="254"/>
      <c r="H48" s="254"/>
      <c r="I48" s="254"/>
      <c r="J48" s="29">
        <f>SUM(J7:J47)</f>
        <v>515081.74495000002</v>
      </c>
      <c r="K48" s="29">
        <f>SUM(K7:K47)</f>
        <v>42923.47874583333</v>
      </c>
      <c r="M48" s="137"/>
      <c r="O48" s="228"/>
      <c r="Q48" s="228"/>
    </row>
    <row r="49" spans="1:14">
      <c r="A49" s="94"/>
      <c r="B49" s="94"/>
      <c r="C49" s="94"/>
      <c r="D49" s="94"/>
      <c r="E49" s="94"/>
      <c r="F49" s="94"/>
      <c r="G49" s="94"/>
      <c r="H49" s="94" t="s">
        <v>39</v>
      </c>
      <c r="I49" s="94"/>
      <c r="J49" s="98">
        <f>K49*12</f>
        <v>515081.74494999996</v>
      </c>
      <c r="K49" s="98">
        <f>K48-K41</f>
        <v>42923.47874583333</v>
      </c>
      <c r="L49" s="26">
        <f>(10*90*'Ark2'!C2/12)*G3/100</f>
        <v>119.86192499999999</v>
      </c>
      <c r="M49" s="179"/>
      <c r="N49" s="137"/>
    </row>
    <row r="50" spans="1:14" ht="5.0999999999999996" customHeight="1">
      <c r="A50" s="24"/>
      <c r="B50" s="24"/>
      <c r="C50" s="24"/>
      <c r="D50" s="24"/>
      <c r="E50" s="24"/>
      <c r="F50" s="24"/>
      <c r="G50" s="24"/>
      <c r="H50" s="24"/>
      <c r="I50" s="24"/>
      <c r="J50" s="26"/>
      <c r="K50" s="26"/>
    </row>
    <row r="51" spans="1:14" ht="27.75" customHeight="1">
      <c r="A51" s="296" t="s">
        <v>12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8"/>
      <c r="L51" s="4"/>
    </row>
    <row r="52" spans="1:14" ht="27.6" customHeight="1">
      <c r="A52" s="295" t="s">
        <v>5</v>
      </c>
      <c r="B52" s="295"/>
      <c r="C52" s="295"/>
      <c r="D52" s="295"/>
      <c r="E52" s="295"/>
      <c r="F52" s="295"/>
      <c r="G52" s="295"/>
      <c r="H52" s="295"/>
      <c r="I52" s="295"/>
      <c r="J52" s="295"/>
      <c r="K52" s="295"/>
      <c r="L52" s="4"/>
    </row>
    <row r="53" spans="1:14" ht="26.25" customHeight="1">
      <c r="A53" s="2"/>
      <c r="C53" s="6"/>
      <c r="D53" s="6"/>
      <c r="E53" s="6"/>
      <c r="F53" s="6"/>
      <c r="G53" s="6"/>
      <c r="I53" s="6"/>
      <c r="J53" s="6"/>
      <c r="K53" s="4"/>
      <c r="L53" s="4"/>
    </row>
    <row r="54" spans="1:14" ht="27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4"/>
      <c r="L54" s="4"/>
    </row>
    <row r="55" spans="1:14" ht="30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</row>
  </sheetData>
  <mergeCells count="37">
    <mergeCell ref="B46:H46"/>
    <mergeCell ref="B47:H47"/>
    <mergeCell ref="B43:G43"/>
    <mergeCell ref="B42:E42"/>
    <mergeCell ref="A52:K52"/>
    <mergeCell ref="A51:K51"/>
    <mergeCell ref="A48:I48"/>
    <mergeCell ref="B45:H45"/>
    <mergeCell ref="B44:G44"/>
    <mergeCell ref="F42:H42"/>
    <mergeCell ref="B40:G40"/>
    <mergeCell ref="B22:E22"/>
    <mergeCell ref="A31:G31"/>
    <mergeCell ref="B23:E23"/>
    <mergeCell ref="B41:G41"/>
    <mergeCell ref="F22:H22"/>
    <mergeCell ref="B27:E27"/>
    <mergeCell ref="B29:E29"/>
    <mergeCell ref="F27:H27"/>
    <mergeCell ref="F29:H29"/>
    <mergeCell ref="B30:C30"/>
    <mergeCell ref="G30:H30"/>
    <mergeCell ref="A1:K1"/>
    <mergeCell ref="B8:E8"/>
    <mergeCell ref="A2:K2"/>
    <mergeCell ref="A3:F3"/>
    <mergeCell ref="B7:E7"/>
    <mergeCell ref="F7:H7"/>
    <mergeCell ref="J5:K5"/>
    <mergeCell ref="D5:F5"/>
    <mergeCell ref="H3:K3"/>
    <mergeCell ref="B13:E13"/>
    <mergeCell ref="B17:E17"/>
    <mergeCell ref="F12:H12"/>
    <mergeCell ref="B12:E12"/>
    <mergeCell ref="B18:E18"/>
    <mergeCell ref="F17:H17"/>
  </mergeCells>
  <phoneticPr fontId="23" type="noConversion"/>
  <pageMargins left="0.39370078740157483" right="0.39370078740157483" top="0.39370078740157483" bottom="0.66" header="0" footer="0.39"/>
  <pageSetup paperSize="9" orientation="portrait" horizontalDpi="200" verticalDpi="200" r:id="rId1"/>
  <headerFooter alignWithMargins="0">
    <oddFooter>&amp;CUdarbejdet af Peter Ollendorff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5">
    <pageSetUpPr autoPageBreaks="0"/>
  </sheetPr>
  <dimension ref="A1:O88"/>
  <sheetViews>
    <sheetView showZeros="0" showOutlineSymbols="0" workbookViewId="0">
      <selection activeCell="B29" sqref="B29"/>
    </sheetView>
  </sheetViews>
  <sheetFormatPr defaultRowHeight="12.75"/>
  <cols>
    <col min="1" max="1" width="57.42578125" customWidth="1"/>
    <col min="2" max="2" width="10.85546875" customWidth="1"/>
    <col min="3" max="3" width="10.5703125" customWidth="1"/>
    <col min="5" max="5" width="21.5703125" customWidth="1"/>
    <col min="11" max="11" width="10.140625" bestFit="1" customWidth="1"/>
    <col min="12" max="12" width="11.140625" bestFit="1" customWidth="1"/>
    <col min="13" max="13" width="10.140625" bestFit="1" customWidth="1"/>
    <col min="14" max="14" width="9.140625" bestFit="1" customWidth="1"/>
    <col min="15" max="15" width="9" bestFit="1" customWidth="1"/>
  </cols>
  <sheetData>
    <row r="1" spans="1:15" ht="14.1" customHeight="1">
      <c r="A1" s="8" t="s">
        <v>6</v>
      </c>
      <c r="B1" s="9">
        <v>36616</v>
      </c>
      <c r="C1" s="9">
        <f>A80</f>
        <v>44835</v>
      </c>
    </row>
    <row r="2" spans="1:15" ht="14.1" customHeight="1">
      <c r="A2" s="8" t="s">
        <v>7</v>
      </c>
      <c r="B2" s="10">
        <v>1</v>
      </c>
      <c r="C2" s="233">
        <v>1.5981590000000001</v>
      </c>
      <c r="E2" s="232"/>
    </row>
    <row r="3" spans="1:15" ht="14.1" customHeight="1">
      <c r="A3" s="12"/>
      <c r="B3" s="13"/>
      <c r="C3" s="13"/>
    </row>
    <row r="4" spans="1:15" ht="14.1" customHeight="1">
      <c r="A4" s="114" t="s">
        <v>69</v>
      </c>
      <c r="B4" s="13">
        <v>18.920000000000002</v>
      </c>
      <c r="C4" s="13">
        <f>$B4*$C$2</f>
        <v>30.237168280000006</v>
      </c>
    </row>
    <row r="5" spans="1:15" ht="14.1" customHeight="1">
      <c r="A5" s="96" t="s">
        <v>70</v>
      </c>
      <c r="B5" s="11">
        <v>25.84</v>
      </c>
      <c r="C5" s="13">
        <f t="shared" ref="C5:C11" si="0">B5*$C$2</f>
        <v>41.296428560000003</v>
      </c>
    </row>
    <row r="6" spans="1:15" ht="22.5" customHeight="1">
      <c r="A6" s="12" t="s">
        <v>71</v>
      </c>
      <c r="B6" s="13">
        <v>15</v>
      </c>
      <c r="C6" s="13">
        <f t="shared" si="0"/>
        <v>23.972385000000003</v>
      </c>
    </row>
    <row r="7" spans="1:15" ht="14.1" customHeight="1">
      <c r="A7" s="8" t="s">
        <v>72</v>
      </c>
      <c r="B7" s="11">
        <v>32.43</v>
      </c>
      <c r="C7" s="13">
        <f t="shared" si="0"/>
        <v>51.828296370000004</v>
      </c>
    </row>
    <row r="8" spans="1:15" ht="14.1" customHeight="1">
      <c r="A8" s="8" t="s">
        <v>73</v>
      </c>
      <c r="B8" s="11">
        <v>32.43</v>
      </c>
      <c r="C8" s="13">
        <f t="shared" si="0"/>
        <v>51.828296370000004</v>
      </c>
      <c r="H8" s="306"/>
      <c r="I8" s="307"/>
      <c r="J8" s="306"/>
      <c r="K8" s="308"/>
      <c r="L8" s="304"/>
      <c r="M8" s="304"/>
      <c r="N8" s="304"/>
      <c r="O8" s="304"/>
    </row>
    <row r="9" spans="1:15" ht="14.1" customHeight="1">
      <c r="A9" s="8" t="s">
        <v>56</v>
      </c>
      <c r="B9" s="11">
        <v>1400</v>
      </c>
      <c r="C9" s="13">
        <f t="shared" si="0"/>
        <v>2237.4226000000003</v>
      </c>
      <c r="H9" s="306"/>
      <c r="I9" s="307"/>
      <c r="J9" s="306"/>
      <c r="K9" s="308"/>
      <c r="L9" s="305"/>
      <c r="M9" s="305"/>
      <c r="N9" s="305"/>
      <c r="O9" s="305"/>
    </row>
    <row r="10" spans="1:15" ht="14.1" customHeight="1">
      <c r="A10" s="8" t="s">
        <v>77</v>
      </c>
      <c r="B10" s="11">
        <v>15400</v>
      </c>
      <c r="C10" s="13">
        <f t="shared" si="0"/>
        <v>24611.6486</v>
      </c>
      <c r="H10" s="100"/>
      <c r="I10" s="100"/>
      <c r="J10" s="100"/>
      <c r="K10" s="100"/>
      <c r="L10" s="100"/>
      <c r="M10" s="100"/>
      <c r="N10" s="100"/>
      <c r="O10" s="100"/>
    </row>
    <row r="11" spans="1:15" ht="14.1" customHeight="1">
      <c r="A11" s="14" t="s">
        <v>28</v>
      </c>
      <c r="B11" s="11">
        <v>4800</v>
      </c>
      <c r="C11" s="11">
        <f t="shared" si="0"/>
        <v>7671.1632000000009</v>
      </c>
      <c r="F11" s="99"/>
      <c r="H11" s="11"/>
      <c r="I11" s="11"/>
      <c r="J11" s="11"/>
      <c r="K11" s="11"/>
      <c r="L11" s="149"/>
      <c r="M11" s="149"/>
      <c r="N11" s="149"/>
      <c r="O11" s="149"/>
    </row>
    <row r="12" spans="1:15" ht="14.1" customHeight="1">
      <c r="A12" s="14" t="s">
        <v>50</v>
      </c>
      <c r="B12" s="217" t="s">
        <v>51</v>
      </c>
      <c r="C12" s="11"/>
      <c r="F12" s="99"/>
      <c r="H12" s="11"/>
      <c r="I12" s="11"/>
      <c r="J12" s="11"/>
      <c r="K12" s="11"/>
      <c r="L12" s="149"/>
      <c r="M12" s="149"/>
      <c r="N12" s="149"/>
      <c r="O12" s="149"/>
    </row>
    <row r="13" spans="1:15" ht="14.1" customHeight="1">
      <c r="A13" s="84" t="s">
        <v>109</v>
      </c>
      <c r="B13" s="11">
        <v>14350</v>
      </c>
      <c r="C13" s="11">
        <f>B13*$C$2</f>
        <v>22933.58165</v>
      </c>
      <c r="J13" s="11"/>
      <c r="K13" s="11"/>
      <c r="L13" s="149"/>
      <c r="M13" s="149"/>
      <c r="N13" s="149"/>
      <c r="O13" s="149"/>
    </row>
    <row r="14" spans="1:15" ht="14.1" customHeight="1">
      <c r="A14" s="14" t="s">
        <v>90</v>
      </c>
      <c r="B14" s="11">
        <v>13000</v>
      </c>
      <c r="C14" s="11">
        <f>B14*$C$2</f>
        <v>20776.067000000003</v>
      </c>
    </row>
    <row r="15" spans="1:15" ht="14.1" customHeight="1">
      <c r="A15" s="8" t="s">
        <v>92</v>
      </c>
      <c r="B15" s="11">
        <f>10*90</f>
        <v>900</v>
      </c>
      <c r="C15" s="11">
        <f>B15*$C$2</f>
        <v>1438.3431</v>
      </c>
      <c r="E15" s="11"/>
    </row>
    <row r="16" spans="1:15" ht="14.1" customHeight="1">
      <c r="A16" s="14" t="s">
        <v>93</v>
      </c>
      <c r="B16" s="11">
        <f>B14+B15</f>
        <v>13900</v>
      </c>
      <c r="C16" s="11">
        <f>B16*$C$2</f>
        <v>22214.410100000001</v>
      </c>
    </row>
    <row r="17" spans="1:15" ht="14.1" customHeight="1">
      <c r="A17" s="14" t="s">
        <v>91</v>
      </c>
      <c r="B17" s="11">
        <v>5500</v>
      </c>
      <c r="C17" s="11">
        <f t="shared" ref="C17:C36" si="1">B17*$C$2</f>
        <v>8789.8744999999999</v>
      </c>
      <c r="H17" s="306"/>
      <c r="I17" s="307"/>
      <c r="J17" s="307"/>
      <c r="K17" s="307"/>
      <c r="L17" s="304"/>
      <c r="M17" s="304"/>
      <c r="N17" s="304"/>
      <c r="O17" s="304"/>
    </row>
    <row r="18" spans="1:15" ht="14.1" customHeight="1">
      <c r="A18" s="8" t="s">
        <v>92</v>
      </c>
      <c r="B18" s="11">
        <f>10*90</f>
        <v>900</v>
      </c>
      <c r="C18" s="11">
        <f>B18*$C$2</f>
        <v>1438.3431</v>
      </c>
      <c r="H18" s="306"/>
      <c r="I18" s="307"/>
      <c r="J18" s="307"/>
      <c r="K18" s="307"/>
      <c r="L18" s="150"/>
      <c r="M18" s="150"/>
      <c r="N18" s="150"/>
      <c r="O18" s="150"/>
    </row>
    <row r="19" spans="1:15" ht="14.1" customHeight="1">
      <c r="A19" s="14" t="s">
        <v>94</v>
      </c>
      <c r="B19" s="11">
        <f>B17+B18</f>
        <v>6400</v>
      </c>
      <c r="C19" s="11">
        <f>B19*$C$2</f>
        <v>10228.2176</v>
      </c>
      <c r="H19" s="306"/>
      <c r="I19" s="307"/>
      <c r="J19" s="307"/>
      <c r="K19" s="307"/>
      <c r="L19" s="150"/>
      <c r="M19" s="150"/>
      <c r="N19" s="150"/>
      <c r="O19" s="150"/>
    </row>
    <row r="20" spans="1:15" ht="14.1" customHeight="1">
      <c r="A20" s="14" t="s">
        <v>57</v>
      </c>
      <c r="B20" s="11">
        <v>15400</v>
      </c>
      <c r="C20" s="11">
        <f t="shared" si="1"/>
        <v>24611.6486</v>
      </c>
      <c r="H20" s="306"/>
      <c r="I20" s="307"/>
      <c r="J20" s="307"/>
      <c r="K20" s="307"/>
      <c r="L20" s="305"/>
      <c r="M20" s="305"/>
      <c r="N20" s="305"/>
      <c r="O20" s="305"/>
    </row>
    <row r="21" spans="1:15" ht="14.1" customHeight="1">
      <c r="A21" s="14" t="s">
        <v>58</v>
      </c>
      <c r="B21" s="11">
        <v>15400</v>
      </c>
      <c r="C21" s="11">
        <f t="shared" si="1"/>
        <v>24611.6486</v>
      </c>
      <c r="H21" s="100"/>
      <c r="I21" s="100"/>
      <c r="J21" s="100"/>
      <c r="K21" s="100"/>
      <c r="L21" s="100"/>
      <c r="M21" s="100"/>
      <c r="N21" s="100"/>
      <c r="O21" s="100"/>
    </row>
    <row r="22" spans="1:15" ht="14.1" customHeight="1">
      <c r="A22" s="8" t="s">
        <v>44</v>
      </c>
      <c r="B22" s="11">
        <v>3000</v>
      </c>
      <c r="C22" s="11">
        <f>B22*$C$2</f>
        <v>4794.4770000000008</v>
      </c>
      <c r="F22" s="99"/>
      <c r="H22" s="11"/>
      <c r="I22" s="11"/>
      <c r="J22" s="11"/>
      <c r="K22" s="11"/>
      <c r="L22" s="149"/>
      <c r="M22" s="149"/>
      <c r="N22" s="149"/>
      <c r="O22" s="149"/>
    </row>
    <row r="23" spans="1:15" ht="14.1" customHeight="1">
      <c r="A23" s="8" t="s">
        <v>45</v>
      </c>
      <c r="B23" s="11">
        <v>4000</v>
      </c>
      <c r="C23" s="11">
        <f t="shared" si="1"/>
        <v>6392.6360000000004</v>
      </c>
      <c r="F23" s="99"/>
      <c r="H23" s="11"/>
      <c r="I23" s="11"/>
      <c r="J23" s="11"/>
      <c r="K23" s="11"/>
      <c r="L23" s="149"/>
      <c r="M23" s="149"/>
      <c r="N23" s="149"/>
      <c r="O23" s="149"/>
    </row>
    <row r="24" spans="1:15" ht="14.1" customHeight="1">
      <c r="A24" s="8" t="s">
        <v>46</v>
      </c>
      <c r="B24" s="11">
        <v>5000</v>
      </c>
      <c r="C24" s="11">
        <f t="shared" si="1"/>
        <v>7990.795000000001</v>
      </c>
      <c r="J24" s="11"/>
      <c r="K24" s="11"/>
      <c r="L24" s="149"/>
      <c r="M24" s="149"/>
      <c r="N24" s="149"/>
      <c r="O24" s="149"/>
    </row>
    <row r="25" spans="1:15" ht="14.1" customHeight="1">
      <c r="A25" s="8" t="s">
        <v>43</v>
      </c>
      <c r="B25" s="11">
        <v>7500</v>
      </c>
      <c r="C25" s="11">
        <f t="shared" si="1"/>
        <v>11986.192500000001</v>
      </c>
    </row>
    <row r="26" spans="1:15" ht="14.1" customHeight="1">
      <c r="A26" s="8" t="s">
        <v>74</v>
      </c>
      <c r="B26" s="11">
        <v>8000</v>
      </c>
      <c r="C26" s="11">
        <f t="shared" si="1"/>
        <v>12785.272000000001</v>
      </c>
    </row>
    <row r="27" spans="1:15" ht="14.1" customHeight="1">
      <c r="A27" s="8" t="s">
        <v>75</v>
      </c>
      <c r="B27" s="11">
        <v>4000</v>
      </c>
      <c r="C27" s="11">
        <f t="shared" si="1"/>
        <v>6392.6360000000004</v>
      </c>
    </row>
    <row r="28" spans="1:15" ht="14.1" customHeight="1">
      <c r="A28" s="8" t="s">
        <v>76</v>
      </c>
      <c r="B28" s="11">
        <v>6000</v>
      </c>
      <c r="C28" s="11">
        <f t="shared" si="1"/>
        <v>9588.9540000000015</v>
      </c>
    </row>
    <row r="29" spans="1:15" ht="14.1" customHeight="1">
      <c r="A29" s="14" t="s">
        <v>119</v>
      </c>
      <c r="B29" s="11">
        <v>4800</v>
      </c>
      <c r="C29" s="11">
        <f t="shared" si="1"/>
        <v>7671.1632000000009</v>
      </c>
    </row>
    <row r="30" spans="1:15" ht="14.1" customHeight="1">
      <c r="A30" s="8" t="s">
        <v>97</v>
      </c>
      <c r="B30" s="11">
        <v>2800</v>
      </c>
      <c r="C30" s="11"/>
    </row>
    <row r="31" spans="1:15" ht="14.1" customHeight="1">
      <c r="A31" s="8" t="s">
        <v>98</v>
      </c>
      <c r="B31" s="11">
        <v>3250</v>
      </c>
      <c r="C31" s="11"/>
    </row>
    <row r="32" spans="1:15" ht="14.1" customHeight="1">
      <c r="A32" s="8" t="s">
        <v>82</v>
      </c>
      <c r="B32" s="11">
        <f>B31-B30</f>
        <v>450</v>
      </c>
      <c r="C32" s="11"/>
      <c r="E32" s="24" t="s">
        <v>88</v>
      </c>
      <c r="M32" s="136"/>
    </row>
    <row r="33" spans="1:3" ht="14.1" customHeight="1">
      <c r="A33" s="8" t="s">
        <v>60</v>
      </c>
      <c r="B33" s="11">
        <v>90</v>
      </c>
      <c r="C33" s="11">
        <f>B33*$C$2</f>
        <v>143.83431000000002</v>
      </c>
    </row>
    <row r="34" spans="1:3" ht="14.1" customHeight="1">
      <c r="A34" s="8" t="s">
        <v>61</v>
      </c>
      <c r="B34" s="11">
        <v>90</v>
      </c>
      <c r="C34" s="11">
        <f t="shared" si="1"/>
        <v>143.83431000000002</v>
      </c>
    </row>
    <row r="35" spans="1:3" ht="14.1" customHeight="1">
      <c r="A35" s="8" t="s">
        <v>99</v>
      </c>
      <c r="B35" s="11">
        <v>26000</v>
      </c>
      <c r="C35" s="11">
        <f t="shared" si="1"/>
        <v>41552.134000000005</v>
      </c>
    </row>
    <row r="36" spans="1:3" ht="14.1" customHeight="1">
      <c r="A36" s="14" t="s">
        <v>105</v>
      </c>
      <c r="B36" s="11">
        <v>34900</v>
      </c>
      <c r="C36" s="11">
        <f t="shared" si="1"/>
        <v>55775.749100000001</v>
      </c>
    </row>
    <row r="37" spans="1:3" ht="14.1" customHeight="1">
      <c r="C37" s="11"/>
    </row>
    <row r="38" spans="1:3" ht="14.1" hidden="1" customHeight="1">
      <c r="C38" s="11"/>
    </row>
    <row r="39" spans="1:3" ht="27" customHeight="1">
      <c r="A39" s="15" t="s">
        <v>6</v>
      </c>
      <c r="B39" s="16" t="s">
        <v>59</v>
      </c>
      <c r="C39" s="11"/>
    </row>
    <row r="40" spans="1:3" ht="14.1" customHeight="1">
      <c r="A40" s="92">
        <v>36616</v>
      </c>
      <c r="B40" s="17">
        <v>1</v>
      </c>
      <c r="C40" s="11"/>
    </row>
    <row r="41" spans="1:3" ht="14.1" customHeight="1">
      <c r="A41" s="92">
        <v>36617</v>
      </c>
      <c r="B41" s="17">
        <v>1.018559</v>
      </c>
      <c r="C41" s="11"/>
    </row>
    <row r="42" spans="1:3" ht="14.1" customHeight="1">
      <c r="A42" s="92">
        <v>36982</v>
      </c>
      <c r="B42" s="17">
        <v>1.040662</v>
      </c>
      <c r="C42" s="11"/>
    </row>
    <row r="43" spans="1:3" ht="14.1" customHeight="1">
      <c r="A43" s="92">
        <v>37165</v>
      </c>
      <c r="B43" s="17">
        <v>1.0511569999999999</v>
      </c>
      <c r="C43" s="11"/>
    </row>
    <row r="44" spans="1:3" ht="14.1" customHeight="1">
      <c r="A44" s="92">
        <v>37347</v>
      </c>
      <c r="B44" s="17">
        <v>1.061566</v>
      </c>
      <c r="C44" s="11"/>
    </row>
    <row r="45" spans="1:3" ht="14.1" customHeight="1">
      <c r="A45" s="92">
        <v>37712</v>
      </c>
      <c r="B45" s="17">
        <v>1.0834220000000001</v>
      </c>
      <c r="C45" s="11"/>
    </row>
    <row r="46" spans="1:3" ht="14.1" customHeight="1">
      <c r="A46" s="92">
        <v>37834</v>
      </c>
      <c r="B46" s="17">
        <v>1.0886800000000001</v>
      </c>
      <c r="C46" s="11"/>
    </row>
    <row r="47" spans="1:3" ht="14.1" customHeight="1">
      <c r="A47" s="92">
        <v>37895</v>
      </c>
      <c r="B47" s="17">
        <v>1.0926750000000001</v>
      </c>
      <c r="C47" s="11"/>
    </row>
    <row r="48" spans="1:3" ht="14.1" customHeight="1">
      <c r="A48" s="92">
        <v>38078</v>
      </c>
      <c r="B48" s="17">
        <v>1.109523</v>
      </c>
      <c r="C48" s="11"/>
    </row>
    <row r="49" spans="1:3" ht="14.1" customHeight="1">
      <c r="A49" s="92">
        <v>38200</v>
      </c>
      <c r="B49" s="17">
        <v>1.1200380000000001</v>
      </c>
      <c r="C49" s="11"/>
    </row>
    <row r="50" spans="1:3" ht="14.1" customHeight="1">
      <c r="A50" s="92">
        <v>38261</v>
      </c>
      <c r="B50" s="17">
        <v>1.1244540000000001</v>
      </c>
      <c r="C50" s="11"/>
    </row>
    <row r="51" spans="1:3" ht="14.1" customHeight="1">
      <c r="A51" s="92">
        <v>38718</v>
      </c>
      <c r="B51" s="32">
        <v>1.1401380000000001</v>
      </c>
      <c r="C51" s="11"/>
    </row>
    <row r="52" spans="1:3" ht="14.1" customHeight="1">
      <c r="A52" s="92">
        <v>38991</v>
      </c>
      <c r="B52" s="32">
        <v>1.1515390000000001</v>
      </c>
      <c r="C52" s="11"/>
    </row>
    <row r="53" spans="1:3" ht="14.1" customHeight="1">
      <c r="A53" s="92">
        <v>39173</v>
      </c>
      <c r="B53" s="32">
        <v>1.1605350000000001</v>
      </c>
      <c r="C53" s="11"/>
    </row>
    <row r="54" spans="1:3" ht="14.1" customHeight="1">
      <c r="A54" s="92">
        <v>39356</v>
      </c>
      <c r="B54" s="32">
        <v>1.1652929999999999</v>
      </c>
      <c r="C54" s="11"/>
    </row>
    <row r="55" spans="1:3" ht="14.1" customHeight="1">
      <c r="A55" s="92">
        <v>39539</v>
      </c>
      <c r="B55" s="32">
        <v>1.2129529999999999</v>
      </c>
      <c r="C55" s="11"/>
    </row>
    <row r="56" spans="1:3" ht="14.1" customHeight="1">
      <c r="A56" s="92">
        <v>39722</v>
      </c>
      <c r="B56" s="32">
        <v>1.230783</v>
      </c>
      <c r="C56" s="11"/>
    </row>
    <row r="57" spans="1:3" ht="14.1" customHeight="1">
      <c r="A57" s="92">
        <v>39904</v>
      </c>
      <c r="B57" s="32">
        <v>1.233114</v>
      </c>
      <c r="C57" s="11"/>
    </row>
    <row r="58" spans="1:3" ht="14.1" customHeight="1">
      <c r="A58" s="92">
        <v>40087</v>
      </c>
      <c r="B58" s="32">
        <v>1.2469950000000001</v>
      </c>
      <c r="C58" s="11"/>
    </row>
    <row r="59" spans="1:3" ht="14.1" customHeight="1">
      <c r="A59" s="92">
        <v>40269</v>
      </c>
      <c r="B59" s="32">
        <v>1.248812</v>
      </c>
      <c r="C59" s="11"/>
    </row>
    <row r="60" spans="1:3" ht="14.1" customHeight="1">
      <c r="A60" s="92">
        <v>40909</v>
      </c>
      <c r="B60" s="32">
        <v>1.268904</v>
      </c>
      <c r="C60" s="11"/>
    </row>
    <row r="61" spans="1:3" ht="14.1" customHeight="1">
      <c r="A61" s="92">
        <v>41183</v>
      </c>
      <c r="B61" s="32">
        <v>1.2707349999999999</v>
      </c>
      <c r="C61" s="11"/>
    </row>
    <row r="62" spans="1:3" ht="14.1" customHeight="1">
      <c r="A62" s="92">
        <v>41365</v>
      </c>
      <c r="B62" s="32">
        <v>1.2770889999999999</v>
      </c>
      <c r="C62" s="11"/>
    </row>
    <row r="63" spans="1:3" ht="14.1" customHeight="1">
      <c r="A63" s="92">
        <v>41548</v>
      </c>
      <c r="B63" s="32">
        <v>1.278546</v>
      </c>
      <c r="C63" s="11"/>
    </row>
    <row r="64" spans="1:3" ht="14.1" customHeight="1">
      <c r="A64" s="92">
        <v>41640</v>
      </c>
      <c r="B64" s="32">
        <v>1.2848999999999999</v>
      </c>
      <c r="C64" s="11"/>
    </row>
    <row r="65" spans="1:4" ht="14.1" customHeight="1">
      <c r="A65" s="92">
        <v>41913</v>
      </c>
      <c r="B65" s="32">
        <v>1.2929550000000001</v>
      </c>
      <c r="C65" s="11"/>
    </row>
    <row r="66" spans="1:4" ht="14.1" customHeight="1">
      <c r="A66" s="92">
        <v>42095</v>
      </c>
      <c r="B66" s="32">
        <v>1.3053669999999999</v>
      </c>
      <c r="C66" s="11"/>
    </row>
    <row r="67" spans="1:4" ht="14.1" customHeight="1">
      <c r="A67" s="92">
        <v>42278</v>
      </c>
      <c r="B67" s="32">
        <v>1.3113330000000001</v>
      </c>
      <c r="C67" s="11"/>
    </row>
    <row r="68" spans="1:4" ht="14.1" customHeight="1">
      <c r="A68" s="92">
        <v>42370</v>
      </c>
      <c r="B68" s="32">
        <v>1.317798</v>
      </c>
      <c r="C68" s="11"/>
    </row>
    <row r="69" spans="1:4" ht="14.1" customHeight="1">
      <c r="A69" s="182">
        <v>42644</v>
      </c>
      <c r="B69" s="32">
        <v>1.3291310000000001</v>
      </c>
      <c r="C69" s="11"/>
    </row>
    <row r="70" spans="1:4" ht="14.1" customHeight="1">
      <c r="A70" s="182">
        <v>42736</v>
      </c>
      <c r="B70" s="183">
        <v>1.344646</v>
      </c>
      <c r="C70" s="11"/>
    </row>
    <row r="71" spans="1:4">
      <c r="A71" s="92">
        <v>43009</v>
      </c>
      <c r="B71" s="32">
        <v>1.3468599999999999</v>
      </c>
      <c r="C71" s="11"/>
    </row>
    <row r="72" spans="1:4">
      <c r="A72" s="92">
        <v>43191</v>
      </c>
      <c r="B72" s="32">
        <v>1.361675</v>
      </c>
      <c r="C72" s="11"/>
    </row>
    <row r="73" spans="1:4">
      <c r="A73" s="92">
        <v>43374</v>
      </c>
      <c r="B73" s="32">
        <v>1.3772530000000001</v>
      </c>
      <c r="C73" s="11"/>
    </row>
    <row r="74" spans="1:4">
      <c r="A74" s="92">
        <v>43739</v>
      </c>
      <c r="B74" s="32">
        <v>1.3908609999999999</v>
      </c>
      <c r="C74" s="11"/>
    </row>
    <row r="75" spans="1:4">
      <c r="A75" s="92">
        <v>43831</v>
      </c>
      <c r="B75" s="32">
        <v>1.4124110000000001</v>
      </c>
      <c r="C75" s="11"/>
    </row>
    <row r="76" spans="1:4">
      <c r="A76" s="92">
        <v>43922</v>
      </c>
      <c r="B76" s="229">
        <v>1.4177979999999999</v>
      </c>
      <c r="C76" s="11"/>
    </row>
    <row r="77" spans="1:4">
      <c r="A77" s="92">
        <v>44105</v>
      </c>
      <c r="B77" s="32">
        <v>1.4285110000000001</v>
      </c>
      <c r="C77" s="11"/>
    </row>
    <row r="78" spans="1:4">
      <c r="A78" s="92">
        <v>44287</v>
      </c>
      <c r="B78" s="32">
        <v>1.442796</v>
      </c>
      <c r="C78" s="11"/>
    </row>
    <row r="79" spans="1:4">
      <c r="A79" s="92">
        <v>44652</v>
      </c>
      <c r="B79" s="32">
        <v>1.456933</v>
      </c>
      <c r="C79" s="11"/>
    </row>
    <row r="80" spans="1:4" ht="15">
      <c r="A80" s="92">
        <v>44835</v>
      </c>
      <c r="B80" s="231">
        <v>1.4940180000000001</v>
      </c>
      <c r="C80" s="11"/>
      <c r="D80" s="230"/>
    </row>
    <row r="81" spans="2:3">
      <c r="B81" s="11"/>
      <c r="C81" s="11"/>
    </row>
    <row r="82" spans="2:3">
      <c r="B82" s="11"/>
      <c r="C82" s="11"/>
    </row>
    <row r="83" spans="2:3">
      <c r="B83" s="11"/>
      <c r="C83" s="11"/>
    </row>
    <row r="84" spans="2:3">
      <c r="B84" s="11"/>
      <c r="C84" s="11"/>
    </row>
    <row r="85" spans="2:3">
      <c r="B85" s="11"/>
      <c r="C85" s="11"/>
    </row>
    <row r="86" spans="2:3">
      <c r="B86" s="11"/>
      <c r="C86" s="11"/>
    </row>
    <row r="87" spans="2:3">
      <c r="B87" s="11"/>
      <c r="C87" s="11"/>
    </row>
    <row r="88" spans="2:3">
      <c r="B88" s="11"/>
      <c r="C88" s="11"/>
    </row>
  </sheetData>
  <mergeCells count="16">
    <mergeCell ref="J8:J9"/>
    <mergeCell ref="H8:H9"/>
    <mergeCell ref="I8:I9"/>
    <mergeCell ref="K8:K9"/>
    <mergeCell ref="H17:H20"/>
    <mergeCell ref="I17:I20"/>
    <mergeCell ref="J17:J20"/>
    <mergeCell ref="K17:K20"/>
    <mergeCell ref="L8:M8"/>
    <mergeCell ref="L9:M9"/>
    <mergeCell ref="L17:M17"/>
    <mergeCell ref="L20:M20"/>
    <mergeCell ref="N8:O8"/>
    <mergeCell ref="N9:O9"/>
    <mergeCell ref="N17:O17"/>
    <mergeCell ref="N20:O20"/>
  </mergeCells>
  <phoneticPr fontId="23" type="noConversion"/>
  <printOptions headings="1"/>
  <pageMargins left="1.44" right="0.78740157480314965" top="0.98425196850393704" bottom="1.05" header="0.17" footer="0.48"/>
  <pageSetup paperSize="9" orientation="portrait" r:id="rId1"/>
  <headerFooter alignWithMargins="0">
    <oddFooter>&amp;CUdarbejdet af Peter Ollendorff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6"/>
  <dimension ref="A1:X67"/>
  <sheetViews>
    <sheetView showZeros="0" showOutlineSymbols="0" workbookViewId="0">
      <selection activeCell="J7" sqref="J7"/>
    </sheetView>
  </sheetViews>
  <sheetFormatPr defaultRowHeight="12.75"/>
  <cols>
    <col min="2" max="2" width="11.140625" customWidth="1"/>
    <col min="3" max="3" width="1.85546875" customWidth="1"/>
    <col min="4" max="4" width="14.42578125" customWidth="1"/>
    <col min="5" max="5" width="13.5703125" customWidth="1"/>
    <col min="6" max="6" width="13" customWidth="1"/>
    <col min="7" max="7" width="16.42578125" customWidth="1"/>
    <col min="8" max="8" width="12.85546875" customWidth="1"/>
    <col min="9" max="9" width="14.7109375" customWidth="1"/>
    <col min="10" max="10" width="14" customWidth="1"/>
    <col min="11" max="11" width="11.85546875" bestFit="1" customWidth="1"/>
    <col min="12" max="12" width="12.42578125" bestFit="1" customWidth="1"/>
    <col min="13" max="13" width="10.85546875" customWidth="1"/>
    <col min="14" max="14" width="11" customWidth="1"/>
  </cols>
  <sheetData>
    <row r="1" spans="1:24" ht="29.25" customHeight="1">
      <c r="A1" s="309" t="s">
        <v>52</v>
      </c>
      <c r="B1" s="307"/>
      <c r="C1" s="307"/>
      <c r="D1" s="307"/>
      <c r="K1" s="83"/>
    </row>
    <row r="2" spans="1:24" ht="41.25" customHeight="1" thickBot="1">
      <c r="A2" s="33" t="s">
        <v>8</v>
      </c>
      <c r="B2" s="58" t="s">
        <v>117</v>
      </c>
      <c r="C2" s="33"/>
      <c r="D2" s="310" t="s">
        <v>16</v>
      </c>
      <c r="E2" s="311"/>
      <c r="F2" s="311"/>
      <c r="G2" s="311"/>
      <c r="H2" s="311"/>
      <c r="I2" s="311"/>
    </row>
    <row r="3" spans="1:24" ht="16.5" customHeight="1">
      <c r="A3" s="69" t="s">
        <v>8</v>
      </c>
      <c r="B3" s="69" t="s">
        <v>17</v>
      </c>
      <c r="C3" s="70"/>
      <c r="D3" s="151" t="s">
        <v>24</v>
      </c>
      <c r="E3" s="152" t="s">
        <v>23</v>
      </c>
      <c r="F3" s="167"/>
      <c r="G3" s="163" t="s">
        <v>25</v>
      </c>
      <c r="H3" s="152" t="s">
        <v>23</v>
      </c>
      <c r="I3" s="153"/>
    </row>
    <row r="4" spans="1:24" ht="15" customHeight="1">
      <c r="A4" s="24"/>
      <c r="B4" s="71"/>
      <c r="C4" s="62"/>
      <c r="D4" s="154"/>
      <c r="E4" s="32">
        <f>'Ark2'!C2</f>
        <v>1.5981590000000001</v>
      </c>
      <c r="F4" s="168"/>
      <c r="G4" s="18"/>
      <c r="H4" s="32">
        <f>'Ark2'!C2</f>
        <v>1.5981590000000001</v>
      </c>
      <c r="I4" s="155"/>
      <c r="J4" s="35"/>
      <c r="K4" s="34"/>
      <c r="L4" s="35"/>
      <c r="M4" s="34"/>
      <c r="N4" s="35"/>
      <c r="O4" s="34"/>
      <c r="P4" s="35"/>
      <c r="Q4" s="34"/>
      <c r="R4" s="35"/>
      <c r="S4" s="34"/>
      <c r="T4" s="35"/>
      <c r="U4" s="34"/>
      <c r="V4" s="35"/>
      <c r="W4" s="34"/>
      <c r="X4" s="35"/>
    </row>
    <row r="5" spans="1:24" ht="15" customHeight="1">
      <c r="A5" s="187">
        <v>26</v>
      </c>
      <c r="B5" s="234">
        <v>351696</v>
      </c>
      <c r="C5" s="62"/>
      <c r="D5" s="154"/>
      <c r="E5" s="18"/>
      <c r="F5" s="168"/>
      <c r="G5" s="18"/>
      <c r="H5" s="18"/>
      <c r="I5" s="156"/>
      <c r="J5" s="35"/>
      <c r="K5" s="139"/>
      <c r="L5" s="60"/>
      <c r="M5" s="138"/>
      <c r="N5" s="35"/>
      <c r="O5" s="34"/>
      <c r="P5" s="35"/>
      <c r="Q5" s="34"/>
      <c r="R5" s="35"/>
      <c r="S5" s="34"/>
      <c r="T5" s="35"/>
      <c r="U5" s="34"/>
      <c r="V5" s="35"/>
      <c r="W5" s="34"/>
      <c r="X5" s="35"/>
    </row>
    <row r="6" spans="1:24" ht="15" customHeight="1">
      <c r="A6" s="187">
        <v>27</v>
      </c>
      <c r="B6" s="234">
        <v>357494</v>
      </c>
      <c r="C6" s="62"/>
      <c r="D6" s="157"/>
      <c r="F6" s="158"/>
      <c r="G6" s="18"/>
      <c r="H6" s="18"/>
      <c r="I6" s="156"/>
      <c r="J6" s="35"/>
      <c r="K6" s="139"/>
      <c r="L6" s="60"/>
      <c r="M6" s="138"/>
      <c r="N6" s="35"/>
      <c r="O6" s="34"/>
      <c r="P6" s="35"/>
      <c r="Q6" s="34"/>
      <c r="R6" s="35"/>
      <c r="S6" s="34"/>
      <c r="T6" s="35"/>
      <c r="U6" s="34"/>
      <c r="V6" s="35"/>
      <c r="W6" s="34"/>
      <c r="X6" s="35"/>
    </row>
    <row r="7" spans="1:24" ht="15" customHeight="1">
      <c r="A7" s="187">
        <v>28</v>
      </c>
      <c r="B7" s="234">
        <v>363420</v>
      </c>
      <c r="C7" s="62"/>
      <c r="D7" s="160">
        <v>4000</v>
      </c>
      <c r="E7" s="81">
        <f>D7*E4</f>
        <v>6392.6360000000004</v>
      </c>
      <c r="F7" s="169">
        <f>B7+E7</f>
        <v>369812.636</v>
      </c>
      <c r="G7" s="18"/>
      <c r="H7" s="18"/>
      <c r="I7" s="156"/>
      <c r="J7" s="35"/>
      <c r="K7" s="139"/>
      <c r="L7" s="60"/>
      <c r="M7" s="138"/>
      <c r="N7" s="35"/>
      <c r="O7" s="34"/>
      <c r="P7" s="35"/>
      <c r="Q7" s="34"/>
      <c r="R7" s="35"/>
      <c r="S7" s="34"/>
      <c r="T7" s="35"/>
      <c r="U7" s="34"/>
      <c r="V7" s="35"/>
      <c r="W7" s="34"/>
      <c r="X7" s="35"/>
    </row>
    <row r="8" spans="1:24" ht="15" customHeight="1">
      <c r="A8" s="187">
        <v>29</v>
      </c>
      <c r="B8" s="234">
        <v>369480</v>
      </c>
      <c r="C8" s="62"/>
      <c r="D8" s="154"/>
      <c r="E8" s="18"/>
      <c r="F8" s="170"/>
      <c r="G8" s="18"/>
      <c r="H8" s="18"/>
      <c r="I8" s="156"/>
      <c r="J8" s="35"/>
      <c r="K8" s="139"/>
      <c r="L8" s="60"/>
      <c r="M8" s="138"/>
      <c r="N8" s="35"/>
      <c r="O8" s="34"/>
      <c r="P8" s="35"/>
      <c r="Q8" s="34"/>
      <c r="R8" s="35"/>
      <c r="S8" s="34"/>
      <c r="T8" s="35"/>
      <c r="U8" s="34"/>
      <c r="V8" s="35"/>
      <c r="W8" s="34"/>
      <c r="X8" s="35"/>
    </row>
    <row r="9" spans="1:24" ht="15" customHeight="1">
      <c r="A9" s="188">
        <v>30</v>
      </c>
      <c r="B9" s="235">
        <v>375671</v>
      </c>
      <c r="C9" s="72"/>
      <c r="D9" s="157"/>
      <c r="F9" s="158"/>
      <c r="I9" s="158"/>
      <c r="J9" s="36"/>
      <c r="K9" s="139"/>
      <c r="L9" s="60"/>
      <c r="M9" s="138"/>
      <c r="N9" s="36"/>
      <c r="O9" s="34"/>
      <c r="P9" s="36"/>
      <c r="Q9" s="34"/>
      <c r="R9" s="36"/>
      <c r="S9" s="34"/>
      <c r="T9" s="36"/>
      <c r="U9" s="34"/>
      <c r="V9" s="36"/>
      <c r="W9" s="34"/>
      <c r="X9" s="36"/>
    </row>
    <row r="10" spans="1:24" ht="15" customHeight="1">
      <c r="A10" s="187">
        <v>31</v>
      </c>
      <c r="B10" s="234">
        <v>382003</v>
      </c>
      <c r="C10" s="62"/>
      <c r="D10" s="159">
        <v>4000</v>
      </c>
      <c r="E10" s="81">
        <f>D10*E4</f>
        <v>6392.6360000000004</v>
      </c>
      <c r="F10" s="169">
        <f>B10+E10</f>
        <v>388395.636</v>
      </c>
      <c r="G10" s="164">
        <v>3000</v>
      </c>
      <c r="H10" s="82">
        <f>G10*H4</f>
        <v>4794.4770000000008</v>
      </c>
      <c r="I10" s="156">
        <f>B10+H10</f>
        <v>386797.47700000001</v>
      </c>
      <c r="J10" s="180">
        <f>I10/12</f>
        <v>32233.123083333336</v>
      </c>
      <c r="K10" s="139"/>
      <c r="L10" s="60"/>
      <c r="M10" s="138"/>
      <c r="N10" s="36"/>
      <c r="O10" s="34"/>
      <c r="P10" s="36"/>
      <c r="Q10" s="34"/>
      <c r="R10" s="36"/>
      <c r="S10" s="34"/>
      <c r="T10" s="36"/>
      <c r="U10" s="34"/>
      <c r="V10" s="36"/>
      <c r="W10" s="34"/>
      <c r="X10" s="36"/>
    </row>
    <row r="11" spans="1:24" ht="15" customHeight="1">
      <c r="A11" s="187">
        <v>32</v>
      </c>
      <c r="B11" s="234">
        <v>388476</v>
      </c>
      <c r="C11" s="62"/>
      <c r="D11" s="157"/>
      <c r="F11" s="158"/>
      <c r="G11" s="18"/>
      <c r="H11" s="18"/>
      <c r="I11" s="156"/>
      <c r="J11" s="181">
        <f>(G10*H4)/12</f>
        <v>399.53975000000008</v>
      </c>
      <c r="K11" s="139"/>
      <c r="L11" s="60"/>
      <c r="M11" s="138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</row>
    <row r="12" spans="1:24" ht="15" customHeight="1">
      <c r="A12" s="187">
        <v>33</v>
      </c>
      <c r="B12" s="234">
        <v>395089</v>
      </c>
      <c r="C12" s="62"/>
      <c r="D12" s="159">
        <v>2000</v>
      </c>
      <c r="E12" s="82">
        <f>D12*E4</f>
        <v>3196.3180000000002</v>
      </c>
      <c r="F12" s="171">
        <f>B12+E12</f>
        <v>398285.31800000003</v>
      </c>
      <c r="G12" s="18"/>
      <c r="H12" s="18"/>
      <c r="I12" s="156"/>
      <c r="J12" s="35"/>
      <c r="K12" s="139"/>
      <c r="L12" s="60"/>
      <c r="M12" s="138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</row>
    <row r="13" spans="1:24" ht="15" customHeight="1">
      <c r="A13" s="187">
        <v>34</v>
      </c>
      <c r="B13" s="234">
        <v>401855</v>
      </c>
      <c r="C13" s="62"/>
      <c r="D13" s="172"/>
      <c r="E13" s="62"/>
      <c r="F13" s="171"/>
      <c r="I13" s="158"/>
      <c r="J13" s="35"/>
      <c r="K13" s="139"/>
      <c r="L13" s="60"/>
      <c r="M13" s="138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</row>
    <row r="14" spans="1:24" ht="15" customHeight="1">
      <c r="A14" s="188">
        <v>35</v>
      </c>
      <c r="B14" s="235">
        <v>408764</v>
      </c>
      <c r="C14" s="72"/>
      <c r="D14" s="173">
        <v>0</v>
      </c>
      <c r="E14" s="72"/>
      <c r="F14" s="158"/>
      <c r="G14" s="164">
        <v>3000</v>
      </c>
      <c r="H14" s="81">
        <f>G14*H4</f>
        <v>4794.4770000000008</v>
      </c>
      <c r="I14" s="156">
        <f>B14+H14</f>
        <v>413558.47700000001</v>
      </c>
      <c r="J14" s="35"/>
      <c r="K14" s="139"/>
      <c r="L14" s="60"/>
      <c r="M14" s="138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</row>
    <row r="15" spans="1:24" ht="15" customHeight="1">
      <c r="A15" s="187">
        <v>36</v>
      </c>
      <c r="B15" s="234">
        <v>415831</v>
      </c>
      <c r="C15" s="62"/>
      <c r="D15" s="159"/>
      <c r="E15" s="62"/>
      <c r="F15" s="171"/>
      <c r="G15" s="18"/>
      <c r="H15" s="18"/>
      <c r="I15" s="156"/>
      <c r="J15" s="36"/>
      <c r="K15" s="139"/>
      <c r="L15" s="60"/>
      <c r="M15" s="140"/>
      <c r="N15" s="36"/>
      <c r="O15" s="34"/>
      <c r="P15" s="36"/>
      <c r="Q15" s="34"/>
      <c r="R15" s="36"/>
      <c r="S15" s="34"/>
      <c r="T15" s="36"/>
      <c r="U15" s="34"/>
      <c r="V15" s="36"/>
      <c r="W15" s="34"/>
      <c r="X15" s="36"/>
    </row>
    <row r="16" spans="1:24" ht="15" customHeight="1">
      <c r="A16" s="187">
        <v>37</v>
      </c>
      <c r="B16" s="234">
        <v>423052</v>
      </c>
      <c r="C16" s="62"/>
      <c r="D16" s="159">
        <v>2000</v>
      </c>
      <c r="E16" s="62">
        <f>D16*E4</f>
        <v>3196.3180000000002</v>
      </c>
      <c r="F16" s="171">
        <f>B16+E16</f>
        <v>426248.31800000003</v>
      </c>
      <c r="G16" s="18"/>
      <c r="H16" s="18"/>
      <c r="I16" s="156"/>
      <c r="J16" s="35"/>
      <c r="K16" s="139"/>
      <c r="L16" s="60"/>
      <c r="M16" s="140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</row>
    <row r="17" spans="1:24" ht="15" customHeight="1">
      <c r="A17" s="187">
        <v>38</v>
      </c>
      <c r="B17" s="234">
        <v>430717</v>
      </c>
      <c r="C17" s="62"/>
      <c r="D17" s="172"/>
      <c r="E17" s="62"/>
      <c r="F17" s="171"/>
      <c r="G17" s="18"/>
      <c r="H17" s="18"/>
      <c r="I17" s="156"/>
      <c r="J17" s="35"/>
      <c r="K17" s="64"/>
      <c r="L17" s="60"/>
      <c r="M17" s="140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</row>
    <row r="18" spans="1:24" ht="15" customHeight="1">
      <c r="A18" s="187">
        <v>39</v>
      </c>
      <c r="B18" s="234">
        <v>438412</v>
      </c>
      <c r="C18" s="62"/>
      <c r="D18" s="172"/>
      <c r="E18" s="62"/>
      <c r="F18" s="171"/>
      <c r="I18" s="158"/>
      <c r="J18" s="35"/>
      <c r="K18" s="139"/>
      <c r="L18" s="60"/>
      <c r="M18" s="140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</row>
    <row r="19" spans="1:24" ht="15" customHeight="1">
      <c r="A19" s="188">
        <v>40</v>
      </c>
      <c r="B19" s="235">
        <v>446281</v>
      </c>
      <c r="C19" s="72"/>
      <c r="D19" s="173"/>
      <c r="E19" s="72"/>
      <c r="F19" s="174"/>
      <c r="G19" s="165">
        <v>10000</v>
      </c>
      <c r="H19" s="81">
        <f>G19*H4</f>
        <v>15981.590000000002</v>
      </c>
      <c r="I19" s="156">
        <f>B19+H19</f>
        <v>462262.59</v>
      </c>
      <c r="J19" s="35"/>
      <c r="K19" s="139"/>
      <c r="L19" s="60"/>
      <c r="M19" s="140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</row>
    <row r="20" spans="1:24" ht="15" customHeight="1">
      <c r="A20" s="189">
        <v>41</v>
      </c>
      <c r="B20" s="234">
        <v>454321</v>
      </c>
      <c r="C20" s="62"/>
      <c r="D20" s="172"/>
      <c r="E20" s="62"/>
      <c r="F20" s="171"/>
      <c r="G20" s="18"/>
      <c r="H20" s="18"/>
      <c r="I20" s="156"/>
      <c r="J20" s="36"/>
      <c r="K20" s="139"/>
      <c r="L20" s="60"/>
      <c r="M20" s="140"/>
      <c r="N20" s="36"/>
      <c r="O20" s="34"/>
      <c r="P20" s="36"/>
      <c r="Q20" s="34"/>
      <c r="R20" s="36"/>
      <c r="S20" s="34"/>
      <c r="T20" s="36"/>
      <c r="U20" s="34"/>
      <c r="V20" s="36"/>
      <c r="W20" s="34"/>
      <c r="X20" s="36"/>
    </row>
    <row r="21" spans="1:24" ht="15" customHeight="1">
      <c r="A21" s="187">
        <v>42</v>
      </c>
      <c r="B21" s="234">
        <v>462536</v>
      </c>
      <c r="C21" s="62"/>
      <c r="D21" s="172"/>
      <c r="E21" s="62"/>
      <c r="F21" s="171"/>
      <c r="I21" s="158"/>
      <c r="J21" s="35"/>
      <c r="K21" s="139"/>
      <c r="L21" s="60"/>
      <c r="M21" s="140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</row>
    <row r="22" spans="1:24" ht="15" customHeight="1" thickBot="1">
      <c r="A22" s="187">
        <v>43</v>
      </c>
      <c r="B22" s="234">
        <v>472815</v>
      </c>
      <c r="C22" s="62"/>
      <c r="D22" s="175"/>
      <c r="E22" s="176"/>
      <c r="F22" s="177"/>
      <c r="G22" s="166">
        <v>13000</v>
      </c>
      <c r="H22" s="161">
        <f>G22*H4</f>
        <v>20776.067000000003</v>
      </c>
      <c r="I22" s="162">
        <f>B22+H22</f>
        <v>493591.06699999998</v>
      </c>
      <c r="J22" s="35"/>
      <c r="K22" s="139"/>
      <c r="L22" s="60"/>
      <c r="M22" s="140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</row>
    <row r="23" spans="1:24" ht="15" customHeight="1" thickBot="1">
      <c r="A23" s="187">
        <v>44</v>
      </c>
      <c r="B23" s="234">
        <v>483379</v>
      </c>
      <c r="C23" s="62"/>
      <c r="D23" s="62"/>
      <c r="E23" s="62"/>
      <c r="F23" s="62"/>
      <c r="G23" s="24"/>
      <c r="H23" s="24"/>
      <c r="I23" s="60"/>
      <c r="J23" s="209" t="s">
        <v>106</v>
      </c>
      <c r="K23" s="210">
        <f>B23</f>
        <v>483379</v>
      </c>
      <c r="L23" s="211">
        <v>7000</v>
      </c>
      <c r="M23" s="202">
        <f>L23*$H$4</f>
        <v>11187.113000000001</v>
      </c>
      <c r="N23" s="212">
        <f>K23+M23</f>
        <v>494566.11300000001</v>
      </c>
      <c r="O23" s="34"/>
      <c r="P23" s="35"/>
      <c r="Q23" s="34"/>
      <c r="R23" s="35"/>
      <c r="S23" s="34"/>
      <c r="T23" s="35"/>
      <c r="U23" s="34"/>
      <c r="V23" s="35"/>
      <c r="W23" s="34"/>
      <c r="X23" s="35"/>
    </row>
    <row r="24" spans="1:24" ht="15" customHeight="1" thickBot="1">
      <c r="A24" s="188">
        <v>45</v>
      </c>
      <c r="B24" s="235">
        <v>494232</v>
      </c>
      <c r="C24" s="72"/>
      <c r="D24" s="200">
        <f>B24</f>
        <v>494232</v>
      </c>
      <c r="E24" s="201">
        <f>12000</f>
        <v>12000</v>
      </c>
      <c r="F24" s="201">
        <f>E24*H4</f>
        <v>19177.908000000003</v>
      </c>
      <c r="G24" s="202">
        <f>D24+F24</f>
        <v>513409.908</v>
      </c>
      <c r="H24" s="203">
        <f>G24/12</f>
        <v>42784.159</v>
      </c>
      <c r="I24" s="208" t="s">
        <v>101</v>
      </c>
      <c r="J24" s="213" t="s">
        <v>104</v>
      </c>
      <c r="K24" s="214"/>
      <c r="L24" s="215">
        <v>6500</v>
      </c>
      <c r="M24" s="204">
        <f>L24*$H$4</f>
        <v>10388.033500000001</v>
      </c>
      <c r="N24" s="216">
        <f>N23+M24</f>
        <v>504954.14650000003</v>
      </c>
      <c r="O24" s="34"/>
      <c r="P24" s="35"/>
      <c r="Q24" s="34"/>
      <c r="R24" s="35"/>
      <c r="S24" s="34"/>
      <c r="T24" s="35"/>
      <c r="U24" s="34"/>
      <c r="V24" s="35"/>
      <c r="W24" s="34"/>
      <c r="X24" s="35"/>
    </row>
    <row r="25" spans="1:24" ht="15" customHeight="1" thickBot="1">
      <c r="A25" s="187">
        <v>46</v>
      </c>
      <c r="B25" s="234">
        <v>505384</v>
      </c>
      <c r="C25" s="62"/>
      <c r="D25" s="175"/>
      <c r="E25" s="176">
        <v>6500</v>
      </c>
      <c r="F25" s="176">
        <f>E25*H4</f>
        <v>10388.033500000001</v>
      </c>
      <c r="G25" s="204">
        <f>G24+F25</f>
        <v>523797.94150000002</v>
      </c>
      <c r="H25" s="205">
        <f>G25/12</f>
        <v>43649.828458333337</v>
      </c>
      <c r="I25" s="207" t="s">
        <v>104</v>
      </c>
      <c r="J25" s="36"/>
      <c r="K25" s="139"/>
      <c r="L25" s="60"/>
      <c r="M25" s="140"/>
      <c r="N25" s="36"/>
      <c r="O25" s="34"/>
      <c r="P25" s="36"/>
      <c r="Q25" s="34"/>
      <c r="R25" s="36"/>
      <c r="S25" s="34"/>
      <c r="T25" s="36"/>
      <c r="U25" s="34"/>
      <c r="V25" s="36"/>
      <c r="W25" s="34"/>
      <c r="X25" s="36"/>
    </row>
    <row r="26" spans="1:24" ht="15" customHeight="1">
      <c r="A26" s="187">
        <v>47</v>
      </c>
      <c r="B26" s="234">
        <v>514380</v>
      </c>
      <c r="C26" s="62"/>
      <c r="D26" s="62"/>
      <c r="E26" s="62"/>
      <c r="F26" s="62"/>
      <c r="G26" s="24"/>
      <c r="H26" s="24"/>
      <c r="I26" s="60"/>
      <c r="J26" s="219" t="s">
        <v>110</v>
      </c>
      <c r="K26" s="218">
        <v>34900</v>
      </c>
      <c r="L26" s="140">
        <f>K26*$H$4</f>
        <v>55775.749100000001</v>
      </c>
      <c r="M26" s="220" t="s">
        <v>111</v>
      </c>
      <c r="N26" s="222">
        <f>N23+L26</f>
        <v>550341.86210000003</v>
      </c>
      <c r="O26" s="34"/>
      <c r="P26" s="35"/>
      <c r="Q26" s="34"/>
      <c r="R26" s="35"/>
      <c r="S26" s="34"/>
      <c r="T26" s="35"/>
      <c r="U26" s="34"/>
      <c r="V26" s="35"/>
      <c r="W26" s="34"/>
      <c r="X26" s="35"/>
    </row>
    <row r="27" spans="1:24" ht="15" customHeight="1">
      <c r="A27" s="187">
        <v>48</v>
      </c>
      <c r="B27" s="234">
        <v>538025</v>
      </c>
      <c r="C27" s="62"/>
      <c r="D27" s="62"/>
      <c r="E27" s="62"/>
      <c r="F27" s="62"/>
      <c r="G27" s="24"/>
      <c r="H27" s="24"/>
      <c r="I27" s="60"/>
      <c r="J27" s="35"/>
      <c r="K27" s="139"/>
      <c r="L27" s="60"/>
      <c r="M27" s="221" t="s">
        <v>112</v>
      </c>
      <c r="N27" s="222">
        <f>N24+L26</f>
        <v>560729.89560000005</v>
      </c>
      <c r="O27" s="34"/>
      <c r="P27" s="35"/>
      <c r="Q27" s="34"/>
      <c r="R27" s="35"/>
      <c r="S27" s="34"/>
      <c r="T27" s="35"/>
      <c r="U27" s="34"/>
      <c r="V27" s="35"/>
      <c r="W27" s="34"/>
      <c r="X27" s="35"/>
    </row>
    <row r="28" spans="1:24" ht="15" customHeight="1">
      <c r="A28" s="187">
        <v>49</v>
      </c>
      <c r="B28" s="234">
        <v>574132</v>
      </c>
      <c r="C28" s="62"/>
      <c r="D28" s="62"/>
      <c r="E28" s="62"/>
      <c r="F28" s="62"/>
      <c r="G28" s="24"/>
      <c r="H28" s="24"/>
      <c r="I28" s="60"/>
      <c r="J28" s="35"/>
      <c r="K28" s="139"/>
      <c r="L28" s="60"/>
      <c r="M28" s="140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</row>
    <row r="29" spans="1:24" ht="15" customHeight="1">
      <c r="A29" s="188">
        <v>50</v>
      </c>
      <c r="B29" s="235">
        <v>614211</v>
      </c>
      <c r="C29" s="72"/>
      <c r="D29" s="72"/>
      <c r="E29" s="72"/>
      <c r="F29" s="72" t="s">
        <v>115</v>
      </c>
      <c r="G29" s="226" t="s">
        <v>116</v>
      </c>
      <c r="H29" s="24"/>
      <c r="I29" s="60"/>
      <c r="J29" s="35"/>
      <c r="K29" s="139"/>
      <c r="L29" s="60"/>
      <c r="M29" s="140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</row>
    <row r="30" spans="1:24" ht="15" customHeight="1">
      <c r="A30" s="63"/>
      <c r="B30" s="64"/>
      <c r="C30" s="65"/>
      <c r="D30" s="65"/>
      <c r="E30" s="65"/>
      <c r="F30" s="223">
        <v>0.15</v>
      </c>
      <c r="G30" s="227" t="s">
        <v>114</v>
      </c>
      <c r="I30" s="60"/>
      <c r="J30" s="36"/>
      <c r="K30" s="34"/>
      <c r="L30" s="36"/>
      <c r="M30" s="34"/>
      <c r="N30" s="36"/>
      <c r="O30" s="34"/>
      <c r="P30" s="36"/>
      <c r="Q30" s="34"/>
      <c r="R30" s="36"/>
      <c r="S30" s="34"/>
      <c r="T30" s="36"/>
      <c r="U30" s="34"/>
      <c r="V30" s="36"/>
      <c r="W30" s="34"/>
      <c r="X30" s="36"/>
    </row>
    <row r="31" spans="1:24" ht="16.5" customHeight="1">
      <c r="A31" s="59"/>
      <c r="B31" s="59"/>
      <c r="C31" s="59"/>
      <c r="D31" s="59" t="s">
        <v>113</v>
      </c>
      <c r="E31" s="224">
        <f>B22</f>
        <v>472815</v>
      </c>
      <c r="F31" s="223">
        <f>E31*F30/12</f>
        <v>5910.1875</v>
      </c>
      <c r="G31" s="225">
        <f>F31*3</f>
        <v>17730.5625</v>
      </c>
      <c r="I31" s="60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</row>
    <row r="32" spans="1:24" ht="15" customHeight="1">
      <c r="B32" s="37"/>
      <c r="E32" s="65"/>
      <c r="F32" s="65"/>
      <c r="I32" s="60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</row>
    <row r="33" spans="1:24" ht="15" customHeight="1">
      <c r="A33" s="63"/>
      <c r="B33" s="64"/>
      <c r="C33" s="65"/>
      <c r="D33" s="65"/>
      <c r="E33" s="65"/>
      <c r="F33" s="65"/>
      <c r="I33" s="60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</row>
    <row r="34" spans="1:24" ht="15" customHeight="1">
      <c r="A34" s="63"/>
      <c r="B34" s="64"/>
      <c r="C34" s="66"/>
      <c r="D34" s="66"/>
      <c r="E34" s="66"/>
      <c r="F34" s="66"/>
      <c r="I34" s="60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</row>
    <row r="35" spans="1:24" ht="12.75" customHeight="1">
      <c r="A35" s="67"/>
      <c r="B35" s="64"/>
      <c r="F35" s="68"/>
      <c r="I35" s="60"/>
      <c r="J35" s="36"/>
      <c r="K35" s="34"/>
      <c r="L35" s="36"/>
      <c r="M35" s="34"/>
      <c r="N35" s="36"/>
      <c r="O35" s="34"/>
      <c r="P35" s="36"/>
      <c r="Q35" s="34"/>
      <c r="R35" s="36"/>
      <c r="S35" s="34"/>
      <c r="T35" s="36"/>
      <c r="U35" s="34"/>
      <c r="V35" s="36"/>
      <c r="W35" s="34"/>
      <c r="X35" s="36"/>
    </row>
    <row r="36" spans="1:24" ht="15.75" customHeight="1">
      <c r="I36" s="60"/>
    </row>
    <row r="37" spans="1:24" ht="12.75" customHeight="1">
      <c r="I37" s="60"/>
    </row>
    <row r="38" spans="1:24" ht="12.75" customHeight="1">
      <c r="I38" s="60"/>
    </row>
    <row r="39" spans="1:24" ht="12.75" customHeight="1">
      <c r="I39" s="60"/>
    </row>
    <row r="40" spans="1:24" ht="12.75" customHeight="1">
      <c r="I40" s="60"/>
    </row>
    <row r="41" spans="1:24" ht="12.75" customHeight="1">
      <c r="I41" s="60"/>
    </row>
    <row r="42" spans="1:24" ht="12.75" customHeight="1">
      <c r="I42" s="60"/>
    </row>
    <row r="43" spans="1:24" ht="12.75" customHeight="1"/>
    <row r="44" spans="1:24" ht="12.75" customHeight="1"/>
    <row r="45" spans="1:24" ht="12.75" customHeight="1"/>
    <row r="46" spans="1:24" ht="12.75" customHeight="1"/>
    <row r="47" spans="1:24" ht="12.75" customHeight="1"/>
    <row r="48" spans="1:2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24.95" customHeight="1"/>
    <row r="67" ht="24.95" customHeight="1"/>
  </sheetData>
  <mergeCells count="2">
    <mergeCell ref="A1:D1"/>
    <mergeCell ref="D2:I2"/>
  </mergeCells>
  <phoneticPr fontId="23" type="noConversion"/>
  <pageMargins left="0.75" right="0.75" top="0.69" bottom="0.83" header="0" footer="0.57999999999999996"/>
  <pageSetup paperSize="9" orientation="landscape" r:id="rId1"/>
  <headerFooter alignWithMargins="0">
    <oddFooter>&amp;CUdarbejdet af Peter Ollendorff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forside</vt:lpstr>
      <vt:lpstr>skema</vt:lpstr>
      <vt:lpstr>Ark2</vt:lpstr>
      <vt:lpstr>Ark3</vt:lpstr>
    </vt:vector>
  </TitlesOfParts>
  <Company>Kreds 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Danmarks Lærerforening - Ansættelsesvilkår - Løn - Løntabeller oktober 2004</dc:title>
  <dc:creator>Peter Ollendorff</dc:creator>
  <cp:lastModifiedBy>Jens Frederik Lykke Horsens</cp:lastModifiedBy>
  <cp:lastPrinted>2025-01-23T09:43:53Z</cp:lastPrinted>
  <dcterms:created xsi:type="dcterms:W3CDTF">2004-09-06T10:27:11Z</dcterms:created>
  <dcterms:modified xsi:type="dcterms:W3CDTF">2025-06-02T09:17:26Z</dcterms:modified>
</cp:coreProperties>
</file>